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ARAGUATINS" sheetId="4" r:id="rId1"/>
  </sheets>
  <definedNames>
    <definedName name="_xlnm._FilterDatabase" localSheetId="0" hidden="1">REP_EST_ARAGUATINS!$A$8:$R$47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BF180E0_B6E4_4359_B66E_3BDB4DE294CE_.wvu.FilterData" localSheetId="0" hidden="1">REP_EST_ARAGUATINS!$C$8:$R$47</definedName>
  </definedNames>
  <calcPr calcId="145621"/>
  <customWorkbookViews>
    <customWorkbookView name="Filtro 2" guid="{734C7381-30C0-454D-A121-47A307066387}" maximized="1" windowWidth="0" windowHeight="0" activeSheetId="0"/>
    <customWorkbookView name="Filtro 1" guid="{7BF180E0-B6E4-4359-B66E-3BDB4DE294CE}" maximized="1" windowWidth="0" windowHeight="0" activeSheetId="0"/>
    <customWorkbookView name="Mauro" guid="{287E86A0-7AC7-4A1E-9CCF-3C94C997C051}" maximized="1" windowWidth="0" windowHeight="0" activeSheetId="0"/>
    <customWorkbookView name="Marta" guid="{D64C76EA-FCB3-485B-9A4C-E0CFEBFE8005}" maximized="1" windowWidth="0" windowHeight="0" activeSheetId="0"/>
  </customWorkbookViews>
</workbook>
</file>

<file path=xl/calcChain.xml><?xml version="1.0" encoding="utf-8"?>
<calcChain xmlns="http://schemas.openxmlformats.org/spreadsheetml/2006/main">
  <c r="R6" i="4" l="1"/>
  <c r="C9" i="4"/>
  <c r="C13" i="4"/>
  <c r="C17" i="4"/>
  <c r="C21" i="4"/>
  <c r="C25" i="4"/>
  <c r="C29" i="4"/>
  <c r="C33" i="4"/>
  <c r="C37" i="4"/>
  <c r="C41" i="4"/>
  <c r="C45" i="4"/>
  <c r="B10" i="4"/>
  <c r="D15" i="4"/>
  <c r="D9" i="4"/>
  <c r="A15" i="4"/>
  <c r="B20" i="4"/>
  <c r="D25" i="4"/>
  <c r="A31" i="4"/>
  <c r="B36" i="4"/>
  <c r="D41" i="4"/>
  <c r="A47" i="4"/>
  <c r="B17" i="4"/>
  <c r="B25" i="4"/>
  <c r="D32" i="4"/>
  <c r="D39" i="4"/>
  <c r="D46" i="4"/>
  <c r="D18" i="4"/>
  <c r="B26" i="4"/>
  <c r="B33" i="4"/>
  <c r="D40" i="4"/>
  <c r="D47" i="4"/>
  <c r="B19" i="4"/>
  <c r="D26" i="4"/>
  <c r="A34" i="4"/>
  <c r="A41" i="4"/>
  <c r="D12" i="4"/>
  <c r="D43" i="4"/>
  <c r="B38" i="4"/>
  <c r="A42" i="4"/>
  <c r="D20" i="4"/>
  <c r="G8" i="4"/>
  <c r="E8" i="4"/>
  <c r="K8" i="4"/>
  <c r="H8" i="4"/>
  <c r="M8" i="4"/>
  <c r="C10" i="4"/>
  <c r="C14" i="4"/>
  <c r="C18" i="4"/>
  <c r="C22" i="4"/>
  <c r="C26" i="4"/>
  <c r="C30" i="4"/>
  <c r="C34" i="4"/>
  <c r="C38" i="4"/>
  <c r="C42" i="4"/>
  <c r="C46" i="4"/>
  <c r="D11" i="4"/>
  <c r="A17" i="4"/>
  <c r="A11" i="4"/>
  <c r="B16" i="4"/>
  <c r="D21" i="4"/>
  <c r="A27" i="4"/>
  <c r="B32" i="4"/>
  <c r="D37" i="4"/>
  <c r="A43" i="4"/>
  <c r="B9" i="4"/>
  <c r="A20" i="4"/>
  <c r="B27" i="4"/>
  <c r="B34" i="4"/>
  <c r="B41" i="4"/>
  <c r="D10" i="4"/>
  <c r="A21" i="4"/>
  <c r="A28" i="4"/>
  <c r="B35" i="4"/>
  <c r="B42" i="4"/>
  <c r="B11" i="4"/>
  <c r="B21" i="4"/>
  <c r="D28" i="4"/>
  <c r="D35" i="4"/>
  <c r="D42" i="4"/>
  <c r="B22" i="4"/>
  <c r="B15" i="4"/>
  <c r="B45" i="4"/>
  <c r="A18" i="4"/>
  <c r="D34" i="4"/>
  <c r="J8" i="4"/>
  <c r="I8" i="4"/>
  <c r="D8" i="4"/>
  <c r="L8" i="4"/>
  <c r="C11" i="4"/>
  <c r="C15" i="4"/>
  <c r="C19" i="4"/>
  <c r="C23" i="4"/>
  <c r="C27" i="4"/>
  <c r="C31" i="4"/>
  <c r="C35" i="4"/>
  <c r="C39" i="4"/>
  <c r="C43" i="4"/>
  <c r="C47" i="4"/>
  <c r="A13" i="4"/>
  <c r="B18" i="4"/>
  <c r="B12" i="4"/>
  <c r="D17" i="4"/>
  <c r="A23" i="4"/>
  <c r="B28" i="4"/>
  <c r="D33" i="4"/>
  <c r="A39" i="4"/>
  <c r="B44" i="4"/>
  <c r="A12" i="4"/>
  <c r="A22" i="4"/>
  <c r="A29" i="4"/>
  <c r="A36" i="4"/>
  <c r="B43" i="4"/>
  <c r="B13" i="4"/>
  <c r="D22" i="4"/>
  <c r="A30" i="4"/>
  <c r="A37" i="4"/>
  <c r="A44" i="4"/>
  <c r="A14" i="4"/>
  <c r="B23" i="4"/>
  <c r="B30" i="4"/>
  <c r="B37" i="4"/>
  <c r="D44" i="4"/>
  <c r="B29" i="4"/>
  <c r="A24" i="4"/>
  <c r="A10" i="4"/>
  <c r="A33" i="4"/>
  <c r="A26" i="4"/>
  <c r="F8" i="4"/>
  <c r="C12" i="4"/>
  <c r="C28" i="4"/>
  <c r="C44" i="4"/>
  <c r="D13" i="4"/>
  <c r="A35" i="4"/>
  <c r="D23" i="4"/>
  <c r="A16" i="4"/>
  <c r="A46" i="4"/>
  <c r="B39" i="4"/>
  <c r="D27" i="4"/>
  <c r="A8" i="4"/>
  <c r="B8" i="4"/>
  <c r="C32" i="4"/>
  <c r="A9" i="4"/>
  <c r="A19" i="4"/>
  <c r="B40" i="4"/>
  <c r="D30" i="4"/>
  <c r="D24" i="4"/>
  <c r="D16" i="4"/>
  <c r="B46" i="4"/>
  <c r="B47" i="4"/>
  <c r="C8" i="4"/>
  <c r="N8" i="4"/>
  <c r="C20" i="4"/>
  <c r="C36" i="4"/>
  <c r="B14" i="4"/>
  <c r="B24" i="4"/>
  <c r="D45" i="4"/>
  <c r="A38" i="4"/>
  <c r="D31" i="4"/>
  <c r="A25" i="4"/>
  <c r="A40" i="4"/>
  <c r="O8" i="4"/>
  <c r="C40" i="4"/>
  <c r="D19" i="4"/>
  <c r="D14" i="4"/>
  <c r="A45" i="4"/>
  <c r="A32" i="4"/>
  <c r="P8" i="4"/>
  <c r="C16" i="4"/>
  <c r="D36" i="4"/>
  <c r="C24" i="4"/>
  <c r="D29" i="4"/>
  <c r="D38" i="4"/>
  <c r="B31" i="4"/>
  <c r="Q8" i="4"/>
  <c r="L6" i="4" l="1"/>
  <c r="M6" i="4"/>
  <c r="I6" i="4"/>
  <c r="K6" i="4"/>
  <c r="F6" i="4"/>
  <c r="G6" i="4"/>
  <c r="H6" i="4"/>
  <c r="N6" i="4"/>
  <c r="C7" i="4"/>
  <c r="E6" i="4"/>
  <c r="J6" i="4"/>
</calcChain>
</file>

<file path=xl/sharedStrings.xml><?xml version="1.0" encoding="utf-8"?>
<sst xmlns="http://schemas.openxmlformats.org/spreadsheetml/2006/main" count="142" uniqueCount="66">
  <si>
    <t xml:space="preserve"> </t>
  </si>
  <si>
    <t xml:space="preserve">1º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</si>
  <si>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</si>
  <si>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</si>
  <si>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</si>
  <si>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</si>
  <si>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</si>
  <si>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</si>
  <si>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</si>
  <si>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</si>
  <si>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  <family val="2"/>
      </rPr>
      <t>(parcial)</t>
    </r>
  </si>
  <si>
    <r>
      <t xml:space="preserve">Ens. Fund. Indíg. /Quilomb 
</t>
    </r>
    <r>
      <rPr>
        <sz val="8"/>
        <rFont val="Arial"/>
        <family val="2"/>
      </rPr>
      <t>(parcial)</t>
    </r>
  </si>
  <si>
    <r>
      <t>Matrícula no MAIS EDUC</t>
    </r>
    <r>
      <rPr>
        <sz val="8"/>
        <rFont val="Arial"/>
        <family val="2"/>
      </rPr>
      <t xml:space="preserve"> 
(7h semanais)</t>
    </r>
    <r>
      <rPr>
        <sz val="10"/>
        <color rgb="FF000000"/>
        <rFont val="Arial"/>
      </rPr>
      <t xml:space="preserve"> 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</si>
  <si>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</si>
  <si>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</si>
  <si>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</si>
  <si>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</si>
  <si>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</si>
  <si>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</si>
  <si>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</si>
  <si>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</si>
  <si>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</si>
  <si>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</si>
  <si>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</si>
  <si>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001</t>
  </si>
  <si>
    <t>1305</t>
  </si>
  <si>
    <t>209082</t>
  </si>
  <si>
    <t>109215</t>
  </si>
  <si>
    <t>0019143</t>
  </si>
  <si>
    <t>109738</t>
  </si>
  <si>
    <t>196657</t>
  </si>
  <si>
    <t>0019437</t>
  </si>
  <si>
    <t>0109223</t>
  </si>
  <si>
    <t>78271</t>
  </si>
  <si>
    <t>16721</t>
  </si>
  <si>
    <t>78964</t>
  </si>
  <si>
    <t>3975</t>
  </si>
  <si>
    <t>19216</t>
  </si>
  <si>
    <t>139297</t>
  </si>
  <si>
    <t>019151</t>
  </si>
  <si>
    <t>0019615</t>
  </si>
  <si>
    <t>0019461</t>
  </si>
  <si>
    <t>209201</t>
  </si>
  <si>
    <t>19399</t>
  </si>
  <si>
    <t>209406</t>
  </si>
  <si>
    <t>0019275</t>
  </si>
  <si>
    <t>10941X</t>
  </si>
  <si>
    <t>10924X</t>
  </si>
  <si>
    <t>0109614</t>
  </si>
  <si>
    <t>19291</t>
  </si>
  <si>
    <t>51713</t>
  </si>
  <si>
    <t>109665</t>
  </si>
  <si>
    <t>109363</t>
  </si>
  <si>
    <t>19712</t>
  </si>
  <si>
    <t>19690</t>
  </si>
  <si>
    <t>0019178</t>
  </si>
  <si>
    <t>109134</t>
  </si>
  <si>
    <t>10938x</t>
  </si>
  <si>
    <t>0217948</t>
  </si>
  <si>
    <t>173576</t>
  </si>
  <si>
    <t>0109282</t>
  </si>
  <si>
    <t>109711</t>
  </si>
  <si>
    <t>217964</t>
  </si>
  <si>
    <t>217972</t>
  </si>
  <si>
    <t>181048</t>
  </si>
  <si>
    <t>217980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</si>
</sst>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rgb="FF000000"/>
      <name val="Arial"/>
      <family val="2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4"/>
      <color rgb="FFFFFFFF"/>
      <name val="Calibri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3D85C6"/>
        <bgColor rgb="FF3D85C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000000"/>
        <bgColor rgb="FF000000"/>
      </patternFill>
    </fill>
    <fill>
      <patternFill patternType="solid">
        <fgColor rgb="FF6FA8DC"/>
        <bgColor rgb="FF6FA8DC"/>
      </patternFill>
    </fill>
    <fill>
      <patternFill patternType="solid">
        <fgColor rgb="FFD0E0E3"/>
        <bgColor rgb="FFD0E0E3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E69138"/>
        <bgColor rgb="FFE69138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</fills>
  <borders count="20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 style="medium">
        <color rgb="FF0B5394"/>
      </bottom>
      <diagonal/>
    </border>
    <border>
      <left style="thin">
        <color rgb="FF3C78D8"/>
      </left>
      <right style="thin">
        <color rgb="FF3C78D8"/>
      </right>
      <top style="medium">
        <color rgb="FF0B5394"/>
      </top>
      <bottom style="medium">
        <color rgb="FF0B5394"/>
      </bottom>
      <diagonal/>
    </border>
    <border>
      <left style="thin">
        <color rgb="FF3D85C6"/>
      </left>
      <right style="thin">
        <color rgb="FF3D85C6"/>
      </right>
      <top style="medium">
        <color rgb="FF0B5394"/>
      </top>
      <bottom style="medium">
        <color rgb="FF0B5394"/>
      </bottom>
      <diagonal/>
    </border>
    <border>
      <left style="thin">
        <color rgb="FF3C78D8"/>
      </left>
      <right/>
      <top style="medium">
        <color rgb="FF0B5394"/>
      </top>
      <bottom style="medium">
        <color rgb="FF0B5394"/>
      </bottom>
      <diagonal/>
    </border>
    <border>
      <left/>
      <right/>
      <top style="medium">
        <color rgb="FF0B5394"/>
      </top>
      <bottom style="medium">
        <color rgb="FF0B5394"/>
      </bottom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thin">
        <color rgb="FFB45F06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/>
      <top/>
      <bottom style="medium">
        <color rgb="FF3C78D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4" fillId="4" borderId="0" xfId="0" applyFont="1" applyFill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11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2" fillId="13" borderId="2" xfId="0" applyFont="1" applyFill="1" applyBorder="1" applyAlignment="1">
      <alignment horizontal="center" wrapText="1"/>
    </xf>
    <xf numFmtId="0" fontId="2" fillId="10" borderId="0" xfId="0" applyFont="1" applyFill="1" applyAlignment="1">
      <alignment horizontal="center" wrapText="1"/>
    </xf>
    <xf numFmtId="0" fontId="2" fillId="14" borderId="2" xfId="0" applyFont="1" applyFill="1" applyBorder="1" applyAlignment="1">
      <alignment horizontal="center" wrapText="1"/>
    </xf>
    <xf numFmtId="49" fontId="9" fillId="15" borderId="4" xfId="0" applyNumberFormat="1" applyFont="1" applyFill="1" applyBorder="1" applyAlignment="1">
      <alignment horizontal="center" textRotation="90"/>
    </xf>
    <xf numFmtId="49" fontId="9" fillId="15" borderId="6" xfId="0" applyNumberFormat="1" applyFont="1" applyFill="1" applyBorder="1" applyAlignment="1">
      <alignment horizontal="center" textRotation="90" wrapText="1"/>
    </xf>
    <xf numFmtId="0" fontId="7" fillId="3" borderId="7" xfId="0" applyFont="1" applyFill="1" applyBorder="1" applyAlignment="1">
      <alignment horizontal="center" wrapText="1"/>
    </xf>
    <xf numFmtId="0" fontId="11" fillId="16" borderId="0" xfId="0" applyFont="1" applyFill="1"/>
    <xf numFmtId="0" fontId="12" fillId="16" borderId="0" xfId="0" applyFont="1" applyFill="1" applyAlignment="1">
      <alignment horizontal="center" wrapText="1"/>
    </xf>
    <xf numFmtId="0" fontId="12" fillId="16" borderId="8" xfId="0" applyFont="1" applyFill="1" applyBorder="1" applyAlignment="1">
      <alignment horizontal="center" wrapText="1"/>
    </xf>
    <xf numFmtId="0" fontId="12" fillId="16" borderId="9" xfId="0" applyFont="1" applyFill="1" applyBorder="1" applyAlignment="1">
      <alignment horizontal="center" wrapText="1"/>
    </xf>
    <xf numFmtId="49" fontId="12" fillId="16" borderId="9" xfId="0" applyNumberFormat="1" applyFont="1" applyFill="1" applyBorder="1" applyAlignment="1">
      <alignment horizontal="center" wrapText="1"/>
    </xf>
    <xf numFmtId="0" fontId="12" fillId="16" borderId="10" xfId="0" applyFont="1" applyFill="1" applyBorder="1" applyAlignment="1">
      <alignment horizontal="center" wrapText="1"/>
    </xf>
    <xf numFmtId="4" fontId="1" fillId="17" borderId="11" xfId="0" applyNumberFormat="1" applyFont="1" applyFill="1" applyBorder="1"/>
    <xf numFmtId="0" fontId="0" fillId="0" borderId="0" xfId="0" applyFont="1" applyAlignme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6" fillId="6" borderId="12" xfId="0" applyFont="1" applyFill="1" applyBorder="1" applyAlignment="1">
      <alignment horizontal="center" wrapText="1"/>
    </xf>
    <xf numFmtId="4" fontId="7" fillId="6" borderId="13" xfId="0" applyNumberFormat="1" applyFont="1" applyFill="1" applyBorder="1" applyAlignment="1">
      <alignment horizontal="center" wrapText="1"/>
    </xf>
    <xf numFmtId="49" fontId="8" fillId="7" borderId="14" xfId="0" applyNumberFormat="1" applyFont="1" applyFill="1" applyBorder="1" applyAlignment="1">
      <alignment horizontal="left"/>
    </xf>
    <xf numFmtId="4" fontId="6" fillId="7" borderId="16" xfId="0" applyNumberFormat="1" applyFont="1" applyFill="1" applyBorder="1"/>
    <xf numFmtId="0" fontId="1" fillId="4" borderId="11" xfId="0" applyFont="1" applyFill="1" applyBorder="1"/>
    <xf numFmtId="49" fontId="1" fillId="4" borderId="11" xfId="0" applyNumberFormat="1" applyFont="1" applyFill="1" applyBorder="1" applyAlignment="1">
      <alignment horizontal="center"/>
    </xf>
    <xf numFmtId="4" fontId="1" fillId="4" borderId="11" xfId="0" applyNumberFormat="1" applyFont="1" applyFill="1" applyBorder="1"/>
    <xf numFmtId="49" fontId="1" fillId="4" borderId="11" xfId="0" applyNumberFormat="1" applyFont="1" applyFill="1" applyBorder="1"/>
    <xf numFmtId="0" fontId="1" fillId="17" borderId="11" xfId="0" applyFont="1" applyFill="1" applyBorder="1"/>
    <xf numFmtId="49" fontId="1" fillId="17" borderId="11" xfId="0" applyNumberFormat="1" applyFont="1" applyFill="1" applyBorder="1" applyAlignment="1">
      <alignment horizontal="center"/>
    </xf>
    <xf numFmtId="49" fontId="1" fillId="17" borderId="11" xfId="0" applyNumberFormat="1" applyFont="1" applyFill="1" applyBorder="1"/>
    <xf numFmtId="0" fontId="1" fillId="18" borderId="11" xfId="0" applyFont="1" applyFill="1" applyBorder="1"/>
    <xf numFmtId="0" fontId="0" fillId="0" borderId="0" xfId="0" applyFont="1" applyBorder="1" applyAlignment="1">
      <alignment vertical="center"/>
    </xf>
    <xf numFmtId="49" fontId="8" fillId="7" borderId="15" xfId="0" applyNumberFormat="1" applyFont="1" applyFill="1" applyBorder="1" applyAlignment="1">
      <alignment horizontal="left"/>
    </xf>
    <xf numFmtId="0" fontId="3" fillId="0" borderId="15" xfId="0" applyFont="1" applyBorder="1"/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BK_BDADOS-style" pivot="0" count="2">
      <tableStyleElement type="firstRowStripe" dxfId="8"/>
      <tableStyleElement type="secondRowStripe" dxfId="7"/>
    </tableStyle>
    <tableStyle name="BK_BDADOS-style 2" pivot="0" count="2">
      <tableStyleElement type="firstRowStripe" dxfId="6"/>
      <tableStyleElement type="secondRowStripe" dxfId="5"/>
    </tableStyle>
    <tableStyle name="REP_PNAE-style" pivot="0" count="2">
      <tableStyleElement type="firstRowStripe" dxfId="4"/>
      <tableStyleElement type="secondRowStripe" dxfId="3"/>
    </tableStyle>
    <tableStyle name="REP_MOD-style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276225</xdr:rowOff>
    </xdr:from>
    <xdr:ext cx="2847975" cy="695325"/>
    <xdr:pic>
      <xdr:nvPicPr>
        <xdr:cNvPr id="2" name="image2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391775" y="27622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2219324</xdr:colOff>
      <xdr:row>0</xdr:row>
      <xdr:rowOff>104775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19674" y="10477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47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1" customWidth="1"/>
    <col min="9" max="9" width="10.85546875" customWidth="1"/>
    <col min="10" max="10" width="11.140625" customWidth="1"/>
    <col min="11" max="13" width="12.7109375" customWidth="1"/>
    <col min="14" max="14" width="11.7109375" customWidth="1"/>
    <col min="15" max="15" width="4.85546875" customWidth="1"/>
    <col min="16" max="16" width="6.42578125" customWidth="1"/>
    <col min="17" max="17" width="10" customWidth="1"/>
    <col min="18" max="18" width="14.42578125" customWidth="1"/>
  </cols>
  <sheetData>
    <row r="1" spans="1:18" s="24" customFormat="1" ht="25.5" customHeight="1">
      <c r="A1" s="40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s="24" customFormat="1" ht="23.25" customHeight="1">
      <c r="A2" s="40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27" customHeight="1">
      <c r="A3" s="40" t="s">
        <v>23</v>
      </c>
      <c r="B3" s="27"/>
      <c r="C3" s="27" t="s">
        <v>0</v>
      </c>
      <c r="D3" s="26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38.25" customHeight="1" thickBot="1">
      <c r="A4" s="27"/>
      <c r="B4" s="27"/>
      <c r="C4" s="27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s="24" customFormat="1" ht="38.25" customHeight="1" thickBot="1">
      <c r="A5" s="43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5"/>
    </row>
    <row r="6" spans="1:18" ht="24" customHeight="1" thickBot="1">
      <c r="A6" s="1"/>
      <c r="B6" s="1"/>
      <c r="C6" s="1"/>
      <c r="D6" s="28" t="s">
        <v>2</v>
      </c>
      <c r="E6" s="29">
        <f t="shared" ref="E6:N6" si="0">SUBTOTAL(9,E9:E47)</f>
        <v>0</v>
      </c>
      <c r="F6" s="29">
        <f t="shared" si="0"/>
        <v>0</v>
      </c>
      <c r="G6" s="29">
        <f t="shared" si="0"/>
        <v>2780.4</v>
      </c>
      <c r="H6" s="29">
        <f t="shared" si="0"/>
        <v>63386.400000000001</v>
      </c>
      <c r="I6" s="29">
        <f t="shared" si="0"/>
        <v>0</v>
      </c>
      <c r="J6" s="29">
        <f t="shared" si="0"/>
        <v>28746</v>
      </c>
      <c r="K6" s="29">
        <f t="shared" si="0"/>
        <v>43814.400000000001</v>
      </c>
      <c r="L6" s="29">
        <f t="shared" si="0"/>
        <v>0</v>
      </c>
      <c r="M6" s="29">
        <f t="shared" si="0"/>
        <v>873.60000000000014</v>
      </c>
      <c r="N6" s="29">
        <f t="shared" si="0"/>
        <v>6762</v>
      </c>
      <c r="O6" s="30"/>
      <c r="P6" s="41" t="s">
        <v>3</v>
      </c>
      <c r="Q6" s="42"/>
      <c r="R6" s="31">
        <f>SUBTOTAL(9,R9:R47)</f>
        <v>146362.80000000002</v>
      </c>
    </row>
    <row r="7" spans="1:18" ht="56.25" customHeight="1" thickBot="1">
      <c r="A7" s="2" t="s">
        <v>4</v>
      </c>
      <c r="B7" s="3" t="s">
        <v>5</v>
      </c>
      <c r="C7" s="4" t="str">
        <f ca="1">"UNIDADES EXECUTORAS = " &amp; COUNTA(C9:C47)</f>
        <v>UNIDADES EXECUTORAS = 39</v>
      </c>
      <c r="D7" s="5" t="s">
        <v>6</v>
      </c>
      <c r="E7" s="6" t="s">
        <v>7</v>
      </c>
      <c r="F7" s="6" t="s">
        <v>8</v>
      </c>
      <c r="G7" s="7" t="s">
        <v>9</v>
      </c>
      <c r="H7" s="8" t="s">
        <v>10</v>
      </c>
      <c r="I7" s="8" t="s">
        <v>11</v>
      </c>
      <c r="J7" s="9" t="s">
        <v>12</v>
      </c>
      <c r="K7" s="10" t="s">
        <v>13</v>
      </c>
      <c r="L7" s="11" t="s">
        <v>14</v>
      </c>
      <c r="M7" s="12" t="s">
        <v>15</v>
      </c>
      <c r="N7" s="13" t="s">
        <v>16</v>
      </c>
      <c r="O7" s="14" t="s">
        <v>17</v>
      </c>
      <c r="P7" s="14" t="s">
        <v>18</v>
      </c>
      <c r="Q7" s="15" t="s">
        <v>19</v>
      </c>
      <c r="R7" s="16" t="s">
        <v>20</v>
      </c>
    </row>
    <row r="8" spans="1:18" ht="12" customHeight="1">
      <c r="A8" s="17" t="str">
        <f ca="1">IFERROR(__xludf.DUMMYFUNCTION("QUERY('REP2'!A6:AP940,""select A,B,C,D,Z,AA,AG,AB,AD,K,AH,AK,Y,AM,V,W,X WHERE NOT Z=0 OR NOT AA=0 OR NOT AG=0 OR NOT AB=0 OR NOT AD=0 OR NOT K=0 OR NOT AH=0 OR NOT AK=0 OR NOT Y=0 OR NOT AM=0"")"),"REGIONAL ")</f>
        <v xml:space="preserve">REGIONAL </v>
      </c>
      <c r="B8" s="18" t="str">
        <f ca="1">IFERROR(__xludf.DUMMYFUNCTION("""COMPUTED_VALUE"""),"MUNICÍPIO")</f>
        <v>MUNICÍPIO</v>
      </c>
      <c r="C8" s="19" t="str">
        <f ca="1">IFERROR(__xludf.DUMMYFUNCTION("""COMPUTED_VALUE"""),"UNIDADE EXECUTORA")</f>
        <v>UNIDADE EXECUTORA</v>
      </c>
      <c r="D8" s="20" t="str">
        <f ca="1">IFERROR(__xludf.DUMMYFUNCTION("""COMPUTED_VALUE"""),"CNPJ")</f>
        <v>CNPJ</v>
      </c>
      <c r="E8" s="20" t="str">
        <f ca="1">IFERROR(__xludf.DUMMYFUNCTION("""COMPUTED_VALUE"""),"ED. INF. CRECHE")</f>
        <v>ED. INF. CRECHE</v>
      </c>
      <c r="F8" s="20" t="str">
        <f ca="1">IFERROR(__xludf.DUMMYFUNCTION("""COMPUTED_VALUE"""),"ED. INF. PRÉ ESCOLA")</f>
        <v>ED. INF. PRÉ ESCOLA</v>
      </c>
      <c r="G8" s="20" t="str">
        <f ca="1">IFERROR(__xludf.DUMMYFUNCTION("""COMPUTED_VALUE"""),"AEE")</f>
        <v>AEE</v>
      </c>
      <c r="H8" s="20" t="str">
        <f ca="1">IFERROR(__xludf.DUMMYFUNCTION("""COMPUTED_VALUE"""),"E. F.  PARCIAL")</f>
        <v>E. F.  PARCIAL</v>
      </c>
      <c r="I8" s="20" t="str">
        <f ca="1">IFERROR(__xludf.DUMMYFUNCTION("""COMPUTED_VALUE"""),"E. F. IND. /QUIL  PARC")</f>
        <v>E. F. IND. /QUIL  PARC</v>
      </c>
      <c r="J8" s="20" t="str">
        <f ca="1">IFERROR(__xludf.DUMMYFUNCTION("""COMPUTED_VALUE"""),"product(Matrícula no MAIS EDUC 
ESTADO
(7h semanais) 18())")</f>
        <v>product(Matrícula no MAIS EDUC 
ESTADO
(7h semanais) 18())</v>
      </c>
      <c r="K8" s="20" t="str">
        <f ca="1">IFERROR(__xludf.DUMMYFUNCTION("""COMPUTED_VALUE"""),"E. M. PARCIAL ")</f>
        <v xml:space="preserve">E. M. PARCIAL </v>
      </c>
      <c r="L8" s="20" t="str">
        <f ca="1">IFERROR(__xludf.DUMMYFUNCTION("""COMPUTED_VALUE"""),"E. M. IND./QUIL  PARC")</f>
        <v>E. M. IND./QUIL  PARC</v>
      </c>
      <c r="M8" s="20" t="str">
        <f ca="1">IFERROR(__xludf.DUMMYFUNCTION("""COMPUTED_VALUE"""),"product(MÉDIO INTEGRADO8.4())")</f>
        <v>product(MÉDIO INTEGRADO8.4())</v>
      </c>
      <c r="N8" s="20" t="str">
        <f ca="1">IFERROR(__xludf.DUMMYFUNCTION("""COMPUTED_VALUE"""),"EJA 1º E 2º SEGM")</f>
        <v>EJA 1º E 2º SEGM</v>
      </c>
      <c r="O8" s="21" t="str">
        <f ca="1">IFERROR(__xludf.DUMMYFUNCTION("""COMPUTED_VALUE"""),"BANCO")</f>
        <v>BANCO</v>
      </c>
      <c r="P8" s="21" t="str">
        <f ca="1">IFERROR(__xludf.DUMMYFUNCTION("""COMPUTED_VALUE"""),"AGENCIA")</f>
        <v>AGENCIA</v>
      </c>
      <c r="Q8" s="21" t="str">
        <f ca="1">IFERROR(__xludf.DUMMYFUNCTION("""COMPUTED_VALUE"""),"C. CORRENTE")</f>
        <v>C. CORRENTE</v>
      </c>
      <c r="R8" s="22" t="s">
        <v>20</v>
      </c>
    </row>
    <row r="9" spans="1:18" ht="12.75">
      <c r="A9" s="39" t="str">
        <f ca="1">IFERROR(__xludf.DUMMYFUNCTION("""COMPUTED_VALUE"""),"Araguatins")</f>
        <v>Araguatins</v>
      </c>
      <c r="B9" s="39" t="str">
        <f ca="1">IFERROR(__xludf.DUMMYFUNCTION("""COMPUTED_VALUE"""),"Araguatins")</f>
        <v>Araguatins</v>
      </c>
      <c r="C9" s="32" t="str">
        <f ca="1">IFERROR(__xludf.DUMMYFUNCTION("""COMPUTED_VALUE"""),"ASSOC. APOIO AO CEM PROFESSORA ANTONINA MILHOMEM")</f>
        <v>ASSOC. APOIO AO CEM PROFESSORA ANTONINA MILHOMEM</v>
      </c>
      <c r="D9" s="33" t="str">
        <f ca="1">IFERROR(__xludf.DUMMYFUNCTION("""COMPUTED_VALUE"""),"04675931000140")</f>
        <v>04675931000140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6963.6</v>
      </c>
      <c r="L9" s="34">
        <v>0</v>
      </c>
      <c r="M9" s="34">
        <v>176.4</v>
      </c>
      <c r="N9" s="34">
        <v>0</v>
      </c>
      <c r="O9" s="35" t="s">
        <v>24</v>
      </c>
      <c r="P9" s="35" t="s">
        <v>25</v>
      </c>
      <c r="Q9" s="35" t="s">
        <v>26</v>
      </c>
      <c r="R9" s="34">
        <v>7140</v>
      </c>
    </row>
    <row r="10" spans="1:18" ht="12.75">
      <c r="A10" s="36" t="str">
        <f ca="1">IFERROR(__xludf.DUMMYFUNCTION("""COMPUTED_VALUE"""),"Araguatins")</f>
        <v>Araguatins</v>
      </c>
      <c r="B10" s="36" t="str">
        <f ca="1">IFERROR(__xludf.DUMMYFUNCTION("""COMPUTED_VALUE"""),"Araguatins")</f>
        <v>Araguatins</v>
      </c>
      <c r="C10" s="36" t="str">
        <f ca="1">IFERROR(__xludf.DUMMYFUNCTION("""COMPUTED_VALUE"""),"A.A. E. EST. ATANAZIO DE MOURA SEIXAS")</f>
        <v>A.A. E. EST. ATANAZIO DE MOURA SEIXAS</v>
      </c>
      <c r="D10" s="37" t="str">
        <f ca="1">IFERROR(__xludf.DUMMYFUNCTION("""COMPUTED_VALUE"""),"01068353000196")</f>
        <v>01068353000196</v>
      </c>
      <c r="E10" s="23">
        <v>0</v>
      </c>
      <c r="F10" s="23">
        <v>0</v>
      </c>
      <c r="G10" s="23">
        <v>0</v>
      </c>
      <c r="H10" s="23">
        <v>831.6</v>
      </c>
      <c r="I10" s="23">
        <v>0</v>
      </c>
      <c r="J10" s="23">
        <v>0</v>
      </c>
      <c r="K10" s="23">
        <v>352.8</v>
      </c>
      <c r="L10" s="23">
        <v>0</v>
      </c>
      <c r="M10" s="23">
        <v>0</v>
      </c>
      <c r="N10" s="23">
        <v>142.80000000000001</v>
      </c>
      <c r="O10" s="38" t="s">
        <v>24</v>
      </c>
      <c r="P10" s="38" t="s">
        <v>25</v>
      </c>
      <c r="Q10" s="38" t="s">
        <v>27</v>
      </c>
      <c r="R10" s="23">
        <v>1327.2</v>
      </c>
    </row>
    <row r="11" spans="1:18" ht="12.75">
      <c r="A11" s="39" t="str">
        <f ca="1">IFERROR(__xludf.DUMMYFUNCTION("""COMPUTED_VALUE"""),"Araguatins")</f>
        <v>Araguatins</v>
      </c>
      <c r="B11" s="39" t="str">
        <f ca="1">IFERROR(__xludf.DUMMYFUNCTION("""COMPUTED_VALUE"""),"Araguatins")</f>
        <v>Araguatins</v>
      </c>
      <c r="C11" s="32" t="str">
        <f ca="1">IFERROR(__xludf.DUMMYFUNCTION("""COMPUTED_VALUE"""),"A.A. COL. EST. LEONIDAS G. DUARTE")</f>
        <v>A.A. COL. EST. LEONIDAS G. DUARTE</v>
      </c>
      <c r="D11" s="33" t="str">
        <f ca="1">IFERROR(__xludf.DUMMYFUNCTION("""COMPUTED_VALUE"""),"01190189000195")</f>
        <v>01190189000195</v>
      </c>
      <c r="E11" s="34">
        <v>0</v>
      </c>
      <c r="F11" s="34">
        <v>0</v>
      </c>
      <c r="G11" s="34">
        <v>0</v>
      </c>
      <c r="H11" s="34">
        <v>4384.8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5" t="s">
        <v>24</v>
      </c>
      <c r="P11" s="35" t="s">
        <v>25</v>
      </c>
      <c r="Q11" s="35" t="s">
        <v>28</v>
      </c>
      <c r="R11" s="34">
        <v>4384.8</v>
      </c>
    </row>
    <row r="12" spans="1:18" ht="12.75">
      <c r="A12" s="36" t="str">
        <f ca="1">IFERROR(__xludf.DUMMYFUNCTION("""COMPUTED_VALUE"""),"Araguatins")</f>
        <v>Araguatins</v>
      </c>
      <c r="B12" s="36" t="str">
        <f ca="1">IFERROR(__xludf.DUMMYFUNCTION("""COMPUTED_VALUE"""),"Araguatins")</f>
        <v>Araguatins</v>
      </c>
      <c r="C12" s="36" t="str">
        <f ca="1">IFERROR(__xludf.DUMMYFUNCTION("""COMPUTED_VALUE"""),"A.A. A ESC. EST. OSVALDO FRANCO")</f>
        <v>A.A. A ESC. EST. OSVALDO FRANCO</v>
      </c>
      <c r="D12" s="37" t="str">
        <f ca="1">IFERROR(__xludf.DUMMYFUNCTION("""COMPUTED_VALUE"""),"01392733000181")</f>
        <v>01392733000181</v>
      </c>
      <c r="E12" s="23">
        <v>0</v>
      </c>
      <c r="F12" s="23">
        <v>0</v>
      </c>
      <c r="G12" s="23">
        <v>0</v>
      </c>
      <c r="H12" s="23">
        <v>3444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2217.6</v>
      </c>
      <c r="O12" s="38" t="s">
        <v>24</v>
      </c>
      <c r="P12" s="38" t="s">
        <v>25</v>
      </c>
      <c r="Q12" s="38" t="s">
        <v>29</v>
      </c>
      <c r="R12" s="23">
        <v>5661.6</v>
      </c>
    </row>
    <row r="13" spans="1:18" ht="12.75">
      <c r="A13" s="39" t="str">
        <f ca="1">IFERROR(__xludf.DUMMYFUNCTION("""COMPUTED_VALUE"""),"Araguatins")</f>
        <v>Araguatins</v>
      </c>
      <c r="B13" s="39" t="str">
        <f ca="1">IFERROR(__xludf.DUMMYFUNCTION("""COMPUTED_VALUE"""),"Araguatins")</f>
        <v>Araguatins</v>
      </c>
      <c r="C13" s="32" t="str">
        <f ca="1">IFERROR(__xludf.DUMMYFUNCTION("""COMPUTED_VALUE"""),"A.A. ESC. ESTADUAL ALDINAR GONÇALVES DE CARVALHO")</f>
        <v>A.A. ESC. ESTADUAL ALDINAR GONÇALVES DE CARVALHO</v>
      </c>
      <c r="D13" s="33" t="str">
        <f ca="1">IFERROR(__xludf.DUMMYFUNCTION("""COMPUTED_VALUE"""),"09465471000140")</f>
        <v>09465471000140</v>
      </c>
      <c r="E13" s="34">
        <v>0</v>
      </c>
      <c r="F13" s="34">
        <v>0</v>
      </c>
      <c r="G13" s="34">
        <v>226.8</v>
      </c>
      <c r="H13" s="34">
        <v>5594.4</v>
      </c>
      <c r="I13" s="34">
        <v>0</v>
      </c>
      <c r="J13" s="34">
        <v>3420</v>
      </c>
      <c r="K13" s="34">
        <v>0</v>
      </c>
      <c r="L13" s="34">
        <v>0</v>
      </c>
      <c r="M13" s="34">
        <v>0</v>
      </c>
      <c r="N13" s="34">
        <v>0</v>
      </c>
      <c r="O13" s="35" t="s">
        <v>24</v>
      </c>
      <c r="P13" s="35" t="s">
        <v>25</v>
      </c>
      <c r="Q13" s="35" t="s">
        <v>30</v>
      </c>
      <c r="R13" s="34">
        <v>9241.2000000000007</v>
      </c>
    </row>
    <row r="14" spans="1:18" ht="12.75">
      <c r="A14" s="36" t="str">
        <f ca="1">IFERROR(__xludf.DUMMYFUNCTION("""COMPUTED_VALUE"""),"Araguatins")</f>
        <v>Araguatins</v>
      </c>
      <c r="B14" s="36" t="str">
        <f ca="1">IFERROR(__xludf.DUMMYFUNCTION("""COMPUTED_VALUE"""),"Araguatins")</f>
        <v>Araguatins</v>
      </c>
      <c r="C14" s="36" t="str">
        <f ca="1">IFERROR(__xludf.DUMMYFUNCTION("""COMPUTED_VALUE"""),"ASSOC. DE APOIO ESC. EST. FREI SAVINO")</f>
        <v>ASSOC. DE APOIO ESC. EST. FREI SAVINO</v>
      </c>
      <c r="D14" s="37" t="str">
        <f ca="1">IFERROR(__xludf.DUMMYFUNCTION("""COMPUTED_VALUE"""),"01181389000181")</f>
        <v>01181389000181</v>
      </c>
      <c r="E14" s="23">
        <v>0</v>
      </c>
      <c r="F14" s="23">
        <v>0</v>
      </c>
      <c r="G14" s="23">
        <v>109.2</v>
      </c>
      <c r="H14" s="23">
        <v>714</v>
      </c>
      <c r="I14" s="23">
        <v>0</v>
      </c>
      <c r="J14" s="23">
        <v>0</v>
      </c>
      <c r="K14" s="23">
        <v>336</v>
      </c>
      <c r="L14" s="23">
        <v>0</v>
      </c>
      <c r="M14" s="23">
        <v>0</v>
      </c>
      <c r="N14" s="23">
        <v>75.599999999999994</v>
      </c>
      <c r="O14" s="38" t="s">
        <v>24</v>
      </c>
      <c r="P14" s="38" t="s">
        <v>25</v>
      </c>
      <c r="Q14" s="38" t="s">
        <v>31</v>
      </c>
      <c r="R14" s="23">
        <v>1234.8</v>
      </c>
    </row>
    <row r="15" spans="1:18" ht="12.75">
      <c r="A15" s="39" t="str">
        <f ca="1">IFERROR(__xludf.DUMMYFUNCTION("""COMPUTED_VALUE"""),"Araguatins")</f>
        <v>Araguatins</v>
      </c>
      <c r="B15" s="39" t="str">
        <f ca="1">IFERROR(__xludf.DUMMYFUNCTION("""COMPUTED_VALUE"""),"Araguatins")</f>
        <v>Araguatins</v>
      </c>
      <c r="C15" s="32" t="str">
        <f ca="1">IFERROR(__xludf.DUMMYFUNCTION("""COMPUTED_VALUE"""),"ASSOC. APOIO ESC. EST. DENISE GOMIDE AMUI")</f>
        <v>ASSOC. APOIO ESC. EST. DENISE GOMIDE AMUI</v>
      </c>
      <c r="D15" s="33" t="str">
        <f ca="1">IFERROR(__xludf.DUMMYFUNCTION("""COMPUTED_VALUE"""),"01136000000186")</f>
        <v>01136000000186</v>
      </c>
      <c r="E15" s="34">
        <v>0</v>
      </c>
      <c r="F15" s="34">
        <v>0</v>
      </c>
      <c r="G15" s="34">
        <v>302.39999999999998</v>
      </c>
      <c r="H15" s="34">
        <v>0</v>
      </c>
      <c r="I15" s="34">
        <v>0</v>
      </c>
      <c r="J15" s="34">
        <v>0</v>
      </c>
      <c r="K15" s="34">
        <v>3990</v>
      </c>
      <c r="L15" s="34">
        <v>0</v>
      </c>
      <c r="M15" s="34">
        <v>0</v>
      </c>
      <c r="N15" s="34">
        <v>0</v>
      </c>
      <c r="O15" s="35" t="s">
        <v>24</v>
      </c>
      <c r="P15" s="35" t="s">
        <v>25</v>
      </c>
      <c r="Q15" s="35" t="s">
        <v>32</v>
      </c>
      <c r="R15" s="34">
        <v>4292.3999999999996</v>
      </c>
    </row>
    <row r="16" spans="1:18" ht="12.75">
      <c r="A16" s="36" t="str">
        <f ca="1">IFERROR(__xludf.DUMMYFUNCTION("""COMPUTED_VALUE"""),"Araguatins")</f>
        <v>Araguatins</v>
      </c>
      <c r="B16" s="36" t="str">
        <f ca="1">IFERROR(__xludf.DUMMYFUNCTION("""COMPUTED_VALUE"""),"Araguatins")</f>
        <v>Araguatins</v>
      </c>
      <c r="C16" s="36" t="str">
        <f ca="1">IFERROR(__xludf.DUMMYFUNCTION("""COMPUTED_VALUE"""),"A.A.  A ESC. EST. SANTA GERTRUDES")</f>
        <v>A.A.  A ESC. EST. SANTA GERTRUDES</v>
      </c>
      <c r="D16" s="37" t="str">
        <f ca="1">IFERROR(__xludf.DUMMYFUNCTION("""COMPUTED_VALUE"""),"03713455000142")</f>
        <v>03713455000142</v>
      </c>
      <c r="E16" s="23">
        <v>0</v>
      </c>
      <c r="F16" s="23">
        <v>0</v>
      </c>
      <c r="G16" s="23">
        <v>159.6</v>
      </c>
      <c r="H16" s="23">
        <v>982.8</v>
      </c>
      <c r="I16" s="23">
        <v>0</v>
      </c>
      <c r="J16" s="23">
        <v>0</v>
      </c>
      <c r="K16" s="23">
        <v>613.20000000000005</v>
      </c>
      <c r="L16" s="23">
        <v>0</v>
      </c>
      <c r="M16" s="23">
        <v>0</v>
      </c>
      <c r="N16" s="23">
        <v>0</v>
      </c>
      <c r="O16" s="38" t="s">
        <v>24</v>
      </c>
      <c r="P16" s="38" t="s">
        <v>25</v>
      </c>
      <c r="Q16" s="38" t="s">
        <v>33</v>
      </c>
      <c r="R16" s="23">
        <v>1755.6</v>
      </c>
    </row>
    <row r="17" spans="1:18" ht="12.75">
      <c r="A17" s="39" t="str">
        <f ca="1">IFERROR(__xludf.DUMMYFUNCTION("""COMPUTED_VALUE"""),"Araguatins")</f>
        <v>Araguatins</v>
      </c>
      <c r="B17" s="39" t="str">
        <f ca="1">IFERROR(__xludf.DUMMYFUNCTION("""COMPUTED_VALUE"""),"Araguatins")</f>
        <v>Araguatins</v>
      </c>
      <c r="C17" s="32" t="str">
        <f ca="1">IFERROR(__xludf.DUMMYFUNCTION("""COMPUTED_VALUE"""),"A.A. ESC. EVANGELICA DANIEL BERG")</f>
        <v>A.A. ESC. EVANGELICA DANIEL BERG</v>
      </c>
      <c r="D17" s="33" t="str">
        <f ca="1">IFERROR(__xludf.DUMMYFUNCTION("""COMPUTED_VALUE"""),"02431547000177")</f>
        <v>02431547000177</v>
      </c>
      <c r="E17" s="34">
        <v>0</v>
      </c>
      <c r="F17" s="34">
        <v>0</v>
      </c>
      <c r="G17" s="34">
        <v>0</v>
      </c>
      <c r="H17" s="34">
        <v>3007.2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 t="s">
        <v>24</v>
      </c>
      <c r="P17" s="35" t="s">
        <v>25</v>
      </c>
      <c r="Q17" s="35" t="s">
        <v>34</v>
      </c>
      <c r="R17" s="34">
        <v>3007.2</v>
      </c>
    </row>
    <row r="18" spans="1:18" ht="12.75">
      <c r="A18" s="36" t="str">
        <f ca="1">IFERROR(__xludf.DUMMYFUNCTION("""COMPUTED_VALUE"""),"Araguatins")</f>
        <v>Araguatins</v>
      </c>
      <c r="B18" s="36" t="str">
        <f ca="1">IFERROR(__xludf.DUMMYFUNCTION("""COMPUTED_VALUE"""),"Araguatins")</f>
        <v>Araguatins</v>
      </c>
      <c r="C18" s="36" t="str">
        <f ca="1">IFERROR(__xludf.DUMMYFUNCTION("""COMPUTED_VALUE"""),"A.A.  A ESCOLA ISOLADA BOA SORTE")</f>
        <v>A.A.  A ESCOLA ISOLADA BOA SORTE</v>
      </c>
      <c r="D18" s="37" t="str">
        <f ca="1">IFERROR(__xludf.DUMMYFUNCTION("""COMPUTED_VALUE"""),"03765304000138")</f>
        <v>03765304000138</v>
      </c>
      <c r="E18" s="23">
        <v>0</v>
      </c>
      <c r="F18" s="23">
        <v>0</v>
      </c>
      <c r="G18" s="23">
        <v>0</v>
      </c>
      <c r="H18" s="23">
        <v>688.8</v>
      </c>
      <c r="I18" s="23">
        <v>0</v>
      </c>
      <c r="J18" s="23">
        <v>0</v>
      </c>
      <c r="K18" s="23">
        <v>453.6</v>
      </c>
      <c r="L18" s="23">
        <v>0</v>
      </c>
      <c r="M18" s="23">
        <v>0</v>
      </c>
      <c r="N18" s="23">
        <v>0</v>
      </c>
      <c r="O18" s="38" t="s">
        <v>24</v>
      </c>
      <c r="P18" s="38" t="s">
        <v>25</v>
      </c>
      <c r="Q18" s="38" t="s">
        <v>35</v>
      </c>
      <c r="R18" s="23">
        <v>1142.4000000000001</v>
      </c>
    </row>
    <row r="19" spans="1:18" ht="12.75">
      <c r="A19" s="39" t="str">
        <f ca="1">IFERROR(__xludf.DUMMYFUNCTION("""COMPUTED_VALUE"""),"Araguatins")</f>
        <v>Araguatins</v>
      </c>
      <c r="B19" s="39" t="str">
        <f ca="1">IFERROR(__xludf.DUMMYFUNCTION("""COMPUTED_VALUE"""),"Augustinopolis")</f>
        <v>Augustinopolis</v>
      </c>
      <c r="C19" s="32" t="str">
        <f ca="1">IFERROR(__xludf.DUMMYFUNCTION("""COMPUTED_VALUE"""),"A.A. CENTRO EST. DE EDUCACAO LA SALLE")</f>
        <v>A.A. CENTRO EST. DE EDUCACAO LA SALLE</v>
      </c>
      <c r="D19" s="33" t="str">
        <f ca="1">IFERROR(__xludf.DUMMYFUNCTION("""COMPUTED_VALUE"""),"01223753000129")</f>
        <v>01223753000129</v>
      </c>
      <c r="E19" s="34">
        <v>0</v>
      </c>
      <c r="F19" s="34">
        <v>0</v>
      </c>
      <c r="G19" s="34">
        <v>176.4</v>
      </c>
      <c r="H19" s="34">
        <v>5409.6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5" t="s">
        <v>24</v>
      </c>
      <c r="P19" s="35" t="s">
        <v>36</v>
      </c>
      <c r="Q19" s="35" t="s">
        <v>37</v>
      </c>
      <c r="R19" s="34">
        <v>5586</v>
      </c>
    </row>
    <row r="20" spans="1:18" ht="12.75">
      <c r="A20" s="36" t="str">
        <f ca="1">IFERROR(__xludf.DUMMYFUNCTION("""COMPUTED_VALUE"""),"Araguatins")</f>
        <v>Araguatins</v>
      </c>
      <c r="B20" s="36" t="str">
        <f ca="1">IFERROR(__xludf.DUMMYFUNCTION("""COMPUTED_VALUE"""),"Augustinopolis")</f>
        <v>Augustinopolis</v>
      </c>
      <c r="C20" s="36" t="str">
        <f ca="1">IFERROR(__xludf.DUMMYFUNCTION("""COMPUTED_VALUE"""),"ASSOC. DE APOIO COL. EST. MANOEL VICENTE SOUZA")</f>
        <v>ASSOC. DE APOIO COL. EST. MANOEL VICENTE SOUZA</v>
      </c>
      <c r="D20" s="37" t="str">
        <f ca="1">IFERROR(__xludf.DUMMYFUNCTION("""COMPUTED_VALUE"""),"01223642000112")</f>
        <v>01223642000112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361.2</v>
      </c>
      <c r="L20" s="23">
        <v>0</v>
      </c>
      <c r="M20" s="23">
        <v>0</v>
      </c>
      <c r="N20" s="23">
        <v>0</v>
      </c>
      <c r="O20" s="38" t="s">
        <v>24</v>
      </c>
      <c r="P20" s="38" t="s">
        <v>36</v>
      </c>
      <c r="Q20" s="38" t="s">
        <v>38</v>
      </c>
      <c r="R20" s="23">
        <v>361.2</v>
      </c>
    </row>
    <row r="21" spans="1:18" ht="12.75">
      <c r="A21" s="39" t="str">
        <f ca="1">IFERROR(__xludf.DUMMYFUNCTION("""COMPUTED_VALUE"""),"Araguatins")</f>
        <v>Araguatins</v>
      </c>
      <c r="B21" s="39" t="str">
        <f ca="1">IFERROR(__xludf.DUMMYFUNCTION("""COMPUTED_VALUE"""),"Augustinopolis")</f>
        <v>Augustinopolis</v>
      </c>
      <c r="C21" s="32" t="str">
        <f ca="1">IFERROR(__xludf.DUMMYFUNCTION("""COMPUTED_VALUE"""),"A.A. ESCOLA ESTADUAL AUGUSTINOPOLIS")</f>
        <v>A.A. ESCOLA ESTADUAL AUGUSTINOPOLIS</v>
      </c>
      <c r="D21" s="33" t="str">
        <f ca="1">IFERROR(__xludf.DUMMYFUNCTION("""COMPUTED_VALUE"""),"01133692000109")</f>
        <v>01133692000109</v>
      </c>
      <c r="E21" s="34">
        <v>0</v>
      </c>
      <c r="F21" s="34">
        <v>0</v>
      </c>
      <c r="G21" s="34">
        <v>126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5" t="s">
        <v>24</v>
      </c>
      <c r="P21" s="35" t="s">
        <v>36</v>
      </c>
      <c r="Q21" s="35" t="s">
        <v>39</v>
      </c>
      <c r="R21" s="34">
        <v>126</v>
      </c>
    </row>
    <row r="22" spans="1:18" ht="12.75">
      <c r="A22" s="36" t="str">
        <f ca="1">IFERROR(__xludf.DUMMYFUNCTION("""COMPUTED_VALUE"""),"Araguatins")</f>
        <v>Araguatins</v>
      </c>
      <c r="B22" s="36" t="str">
        <f ca="1">IFERROR(__xludf.DUMMYFUNCTION("""COMPUTED_VALUE"""),"Augustinopolis")</f>
        <v>Augustinopolis</v>
      </c>
      <c r="C22" s="36" t="str">
        <f ca="1">IFERROR(__xludf.DUMMYFUNCTION("""COMPUTED_VALUE"""),"ASSOC. DE AP.ESC. EST. FAZ.DEZESSEIS")</f>
        <v>ASSOC. DE AP.ESC. EST. FAZ.DEZESSEIS</v>
      </c>
      <c r="D22" s="37" t="str">
        <f ca="1">IFERROR(__xludf.DUMMYFUNCTION("""COMPUTED_VALUE"""),"01133695000142")</f>
        <v>01133695000142</v>
      </c>
      <c r="E22" s="23">
        <v>0</v>
      </c>
      <c r="F22" s="23">
        <v>0</v>
      </c>
      <c r="G22" s="23">
        <v>109.2</v>
      </c>
      <c r="H22" s="23">
        <v>1083.5999999999999</v>
      </c>
      <c r="I22" s="23">
        <v>0</v>
      </c>
      <c r="J22" s="23">
        <v>0</v>
      </c>
      <c r="K22" s="23">
        <v>176.4</v>
      </c>
      <c r="L22" s="23">
        <v>0</v>
      </c>
      <c r="M22" s="23">
        <v>0</v>
      </c>
      <c r="N22" s="23">
        <v>1470</v>
      </c>
      <c r="O22" s="38" t="s">
        <v>24</v>
      </c>
      <c r="P22" s="38" t="s">
        <v>36</v>
      </c>
      <c r="Q22" s="38" t="s">
        <v>40</v>
      </c>
      <c r="R22" s="23">
        <v>2839.2</v>
      </c>
    </row>
    <row r="23" spans="1:18" ht="12.75">
      <c r="A23" s="39" t="str">
        <f ca="1">IFERROR(__xludf.DUMMYFUNCTION("""COMPUTED_VALUE"""),"Araguatins")</f>
        <v>Araguatins</v>
      </c>
      <c r="B23" s="39" t="str">
        <f ca="1">IFERROR(__xludf.DUMMYFUNCTION("""COMPUTED_VALUE"""),"Augustinopolis")</f>
        <v>Augustinopolis</v>
      </c>
      <c r="C23" s="32" t="str">
        <f ca="1">IFERROR(__xludf.DUMMYFUNCTION("""COMPUTED_VALUE"""),"A.A. DA ESCOLA EST. SANTA GENOVEVA")</f>
        <v>A.A. DA ESCOLA EST. SANTA GENOVEVA</v>
      </c>
      <c r="D23" s="33" t="str">
        <f ca="1">IFERROR(__xludf.DUMMYFUNCTION("""COMPUTED_VALUE"""),"01068357000174")</f>
        <v>01068357000174</v>
      </c>
      <c r="E23" s="34">
        <v>0</v>
      </c>
      <c r="F23" s="34">
        <v>0</v>
      </c>
      <c r="G23" s="34">
        <v>0</v>
      </c>
      <c r="H23" s="34">
        <v>4023.6</v>
      </c>
      <c r="I23" s="34">
        <v>0</v>
      </c>
      <c r="J23" s="34">
        <v>0</v>
      </c>
      <c r="K23" s="34">
        <v>2184</v>
      </c>
      <c r="L23" s="34">
        <v>0</v>
      </c>
      <c r="M23" s="34">
        <v>0</v>
      </c>
      <c r="N23" s="34">
        <v>0</v>
      </c>
      <c r="O23" s="35" t="s">
        <v>24</v>
      </c>
      <c r="P23" s="35" t="s">
        <v>36</v>
      </c>
      <c r="Q23" s="35" t="s">
        <v>41</v>
      </c>
      <c r="R23" s="34">
        <v>6207.6</v>
      </c>
    </row>
    <row r="24" spans="1:18" ht="12.75">
      <c r="A24" s="36" t="str">
        <f ca="1">IFERROR(__xludf.DUMMYFUNCTION("""COMPUTED_VALUE"""),"Araguatins")</f>
        <v>Araguatins</v>
      </c>
      <c r="B24" s="36" t="str">
        <f ca="1">IFERROR(__xludf.DUMMYFUNCTION("""COMPUTED_VALUE"""),"Axixa do Tocantins")</f>
        <v>Axixa do Tocantins</v>
      </c>
      <c r="C24" s="36" t="str">
        <f ca="1">IFERROR(__xludf.DUMMYFUNCTION("""COMPUTED_VALUE"""),"ASSOC. DE APOIO COLÉGIO. EST. MAL. RIBAS JUNIOR")</f>
        <v>ASSOC. DE APOIO COLÉGIO. EST. MAL. RIBAS JUNIOR</v>
      </c>
      <c r="D24" s="37" t="str">
        <f ca="1">IFERROR(__xludf.DUMMYFUNCTION("""COMPUTED_VALUE"""),"01086979000125")</f>
        <v>01086979000125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6106.8</v>
      </c>
      <c r="L24" s="23">
        <v>0</v>
      </c>
      <c r="M24" s="23">
        <v>0</v>
      </c>
      <c r="N24" s="23">
        <v>0</v>
      </c>
      <c r="O24" s="38" t="s">
        <v>24</v>
      </c>
      <c r="P24" s="38" t="s">
        <v>25</v>
      </c>
      <c r="Q24" s="38" t="s">
        <v>42</v>
      </c>
      <c r="R24" s="23">
        <v>6106.8</v>
      </c>
    </row>
    <row r="25" spans="1:18" ht="12.75">
      <c r="A25" s="39" t="str">
        <f ca="1">IFERROR(__xludf.DUMMYFUNCTION("""COMPUTED_VALUE"""),"Araguatins")</f>
        <v>Araguatins</v>
      </c>
      <c r="B25" s="39" t="str">
        <f ca="1">IFERROR(__xludf.DUMMYFUNCTION("""COMPUTED_VALUE"""),"Axixa do Tocantins")</f>
        <v>Axixa do Tocantins</v>
      </c>
      <c r="C25" s="32" t="str">
        <f ca="1">IFERROR(__xludf.DUMMYFUNCTION("""COMPUTED_VALUE"""),"A.A. ESC. EST. SAO FRANCISCO DE ASSIS")</f>
        <v>A.A. ESC. EST. SAO FRANCISCO DE ASSIS</v>
      </c>
      <c r="D25" s="33" t="str">
        <f ca="1">IFERROR(__xludf.DUMMYFUNCTION("""COMPUTED_VALUE"""),"01086980000150")</f>
        <v>01086980000150</v>
      </c>
      <c r="E25" s="34">
        <v>0</v>
      </c>
      <c r="F25" s="34">
        <v>0</v>
      </c>
      <c r="G25" s="34">
        <v>142.80000000000001</v>
      </c>
      <c r="H25" s="34">
        <v>1831.2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5" t="s">
        <v>24</v>
      </c>
      <c r="P25" s="35" t="s">
        <v>25</v>
      </c>
      <c r="Q25" s="35" t="s">
        <v>43</v>
      </c>
      <c r="R25" s="34">
        <v>1974</v>
      </c>
    </row>
    <row r="26" spans="1:18" ht="12.75">
      <c r="A26" s="36" t="str">
        <f ca="1">IFERROR(__xludf.DUMMYFUNCTION("""COMPUTED_VALUE"""),"Araguatins")</f>
        <v>Araguatins</v>
      </c>
      <c r="B26" s="36" t="str">
        <f ca="1">IFERROR(__xludf.DUMMYFUNCTION("""COMPUTED_VALUE"""),"Buriti do Tocantins")</f>
        <v>Buriti do Tocantins</v>
      </c>
      <c r="C26" s="36" t="str">
        <f ca="1">IFERROR(__xludf.DUMMYFUNCTION("""COMPUTED_VALUE"""),"A. DE APOIO DO COLEGIO EST. BURITI")</f>
        <v>A. DE APOIO DO COLEGIO EST. BURITI</v>
      </c>
      <c r="D26" s="37" t="str">
        <f ca="1">IFERROR(__xludf.DUMMYFUNCTION("""COMPUTED_VALUE"""),"01206217000115")</f>
        <v>01206217000115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218.4</v>
      </c>
      <c r="N26" s="23">
        <v>0</v>
      </c>
      <c r="O26" s="38" t="s">
        <v>24</v>
      </c>
      <c r="P26" s="38" t="s">
        <v>25</v>
      </c>
      <c r="Q26" s="38" t="s">
        <v>44</v>
      </c>
      <c r="R26" s="23">
        <v>218.4</v>
      </c>
    </row>
    <row r="27" spans="1:18" ht="12.75">
      <c r="A27" s="39" t="str">
        <f ca="1">IFERROR(__xludf.DUMMYFUNCTION("""COMPUTED_VALUE"""),"Araguatins")</f>
        <v>Araguatins</v>
      </c>
      <c r="B27" s="39" t="str">
        <f ca="1">IFERROR(__xludf.DUMMYFUNCTION("""COMPUTED_VALUE"""),"Buriti do Tocantins")</f>
        <v>Buriti do Tocantins</v>
      </c>
      <c r="C27" s="32" t="str">
        <f ca="1">IFERROR(__xludf.DUMMYFUNCTION("""COMPUTED_VALUE"""),"A.A. DA ESCOLA ESTADUAL DARCYNOPOLIS")</f>
        <v>A.A. DA ESCOLA ESTADUAL DARCYNOPOLIS</v>
      </c>
      <c r="D27" s="33" t="str">
        <f ca="1">IFERROR(__xludf.DUMMYFUNCTION("""COMPUTED_VALUE"""),"01190184000162")</f>
        <v>01190184000162</v>
      </c>
      <c r="E27" s="34">
        <v>0</v>
      </c>
      <c r="F27" s="34">
        <v>0</v>
      </c>
      <c r="G27" s="34">
        <v>109.2</v>
      </c>
      <c r="H27" s="34">
        <v>1066.8</v>
      </c>
      <c r="I27" s="34">
        <v>0</v>
      </c>
      <c r="J27" s="34">
        <v>0</v>
      </c>
      <c r="K27" s="34">
        <v>361.2</v>
      </c>
      <c r="L27" s="34">
        <v>0</v>
      </c>
      <c r="M27" s="34">
        <v>0</v>
      </c>
      <c r="N27" s="34">
        <v>0</v>
      </c>
      <c r="O27" s="35" t="s">
        <v>24</v>
      </c>
      <c r="P27" s="35" t="s">
        <v>36</v>
      </c>
      <c r="Q27" s="35" t="s">
        <v>45</v>
      </c>
      <c r="R27" s="34">
        <v>1537.2</v>
      </c>
    </row>
    <row r="28" spans="1:18" ht="12.75">
      <c r="A28" s="36" t="str">
        <f ca="1">IFERROR(__xludf.DUMMYFUNCTION("""COMPUTED_VALUE"""),"Araguatins")</f>
        <v>Araguatins</v>
      </c>
      <c r="B28" s="36" t="str">
        <f ca="1">IFERROR(__xludf.DUMMYFUNCTION("""COMPUTED_VALUE"""),"Buriti do Tocantins")</f>
        <v>Buriti do Tocantins</v>
      </c>
      <c r="C28" s="36" t="str">
        <f ca="1">IFERROR(__xludf.DUMMYFUNCTION("""COMPUTED_VALUE"""),"A.A. ESC. ESTADUAL MINISTRO NEY BRAGA")</f>
        <v>A.A. ESC. ESTADUAL MINISTRO NEY BRAGA</v>
      </c>
      <c r="D28" s="37" t="str">
        <f ca="1">IFERROR(__xludf.DUMMYFUNCTION("""COMPUTED_VALUE"""),"01206220000139")</f>
        <v>01206220000139</v>
      </c>
      <c r="E28" s="23">
        <v>0</v>
      </c>
      <c r="F28" s="23">
        <v>0</v>
      </c>
      <c r="G28" s="23">
        <v>126</v>
      </c>
      <c r="H28" s="23">
        <v>663.6</v>
      </c>
      <c r="I28" s="23">
        <v>0</v>
      </c>
      <c r="J28" s="23">
        <v>1710</v>
      </c>
      <c r="K28" s="23">
        <v>579.6</v>
      </c>
      <c r="L28" s="23">
        <v>0</v>
      </c>
      <c r="M28" s="23">
        <v>0</v>
      </c>
      <c r="N28" s="23">
        <v>0</v>
      </c>
      <c r="O28" s="38" t="s">
        <v>24</v>
      </c>
      <c r="P28" s="38" t="s">
        <v>25</v>
      </c>
      <c r="Q28" s="38" t="s">
        <v>46</v>
      </c>
      <c r="R28" s="23">
        <v>3079.2</v>
      </c>
    </row>
    <row r="29" spans="1:18" ht="12.75">
      <c r="A29" s="39" t="str">
        <f ca="1">IFERROR(__xludf.DUMMYFUNCTION("""COMPUTED_VALUE"""),"Araguatins")</f>
        <v>Araguatins</v>
      </c>
      <c r="B29" s="39" t="str">
        <f ca="1">IFERROR(__xludf.DUMMYFUNCTION("""COMPUTED_VALUE"""),"Buriti do Tocantins")</f>
        <v>Buriti do Tocantins</v>
      </c>
      <c r="C29" s="32" t="str">
        <f ca="1">IFERROR(__xludf.DUMMYFUNCTION("""COMPUTED_VALUE"""),"A.A. ESC. E.PRES.TANCREDO DE A.NEVES")</f>
        <v>A.A. ESC. E.PRES.TANCREDO DE A.NEVES</v>
      </c>
      <c r="D29" s="33" t="str">
        <f ca="1">IFERROR(__xludf.DUMMYFUNCTION("""COMPUTED_VALUE"""),"01112478000176")</f>
        <v>01112478000176</v>
      </c>
      <c r="E29" s="34">
        <v>0</v>
      </c>
      <c r="F29" s="34">
        <v>0</v>
      </c>
      <c r="G29" s="34">
        <v>226.8</v>
      </c>
      <c r="H29" s="34">
        <v>1906.8</v>
      </c>
      <c r="I29" s="34">
        <v>0</v>
      </c>
      <c r="J29" s="34">
        <v>1800</v>
      </c>
      <c r="K29" s="34">
        <v>0</v>
      </c>
      <c r="L29" s="34">
        <v>0</v>
      </c>
      <c r="M29" s="34">
        <v>0</v>
      </c>
      <c r="N29" s="34">
        <v>0</v>
      </c>
      <c r="O29" s="35" t="s">
        <v>24</v>
      </c>
      <c r="P29" s="35" t="s">
        <v>25</v>
      </c>
      <c r="Q29" s="35" t="s">
        <v>47</v>
      </c>
      <c r="R29" s="34">
        <v>3933.6</v>
      </c>
    </row>
    <row r="30" spans="1:18" ht="12.75">
      <c r="A30" s="36" t="str">
        <f ca="1">IFERROR(__xludf.DUMMYFUNCTION("""COMPUTED_VALUE"""),"Araguatins")</f>
        <v>Araguatins</v>
      </c>
      <c r="B30" s="36" t="str">
        <f ca="1">IFERROR(__xludf.DUMMYFUNCTION("""COMPUTED_VALUE"""),"Buriti do Tocantins")</f>
        <v>Buriti do Tocantins</v>
      </c>
      <c r="C30" s="36" t="str">
        <f ca="1">IFERROR(__xludf.DUMMYFUNCTION("""COMPUTED_VALUE"""),"A.A. ESC. EST. VICENTE CARLOS DE SOUSA")</f>
        <v>A.A. ESC. EST. VICENTE CARLOS DE SOUSA</v>
      </c>
      <c r="D30" s="37" t="str">
        <f ca="1">IFERROR(__xludf.DUMMYFUNCTION("""COMPUTED_VALUE"""),"01206288000118")</f>
        <v>01206288000118</v>
      </c>
      <c r="E30" s="23">
        <v>0</v>
      </c>
      <c r="F30" s="23">
        <v>0</v>
      </c>
      <c r="G30" s="23">
        <v>0</v>
      </c>
      <c r="H30" s="23">
        <v>2931.6</v>
      </c>
      <c r="I30" s="23">
        <v>0</v>
      </c>
      <c r="J30" s="23">
        <v>0</v>
      </c>
      <c r="K30" s="23">
        <v>991.2</v>
      </c>
      <c r="L30" s="23">
        <v>0</v>
      </c>
      <c r="M30" s="23">
        <v>0</v>
      </c>
      <c r="N30" s="23">
        <v>0</v>
      </c>
      <c r="O30" s="38" t="s">
        <v>24</v>
      </c>
      <c r="P30" s="38" t="s">
        <v>25</v>
      </c>
      <c r="Q30" s="38" t="s">
        <v>48</v>
      </c>
      <c r="R30" s="23">
        <v>3922.8</v>
      </c>
    </row>
    <row r="31" spans="1:18" ht="12.75">
      <c r="A31" s="39" t="str">
        <f ca="1">IFERROR(__xludf.DUMMYFUNCTION("""COMPUTED_VALUE"""),"Araguatins")</f>
        <v>Araguatins</v>
      </c>
      <c r="B31" s="39" t="str">
        <f ca="1">IFERROR(__xludf.DUMMYFUNCTION("""COMPUTED_VALUE"""),"Carrasco Bonito")</f>
        <v>Carrasco Bonito</v>
      </c>
      <c r="C31" s="32" t="str">
        <f ca="1">IFERROR(__xludf.DUMMYFUNCTION("""COMPUTED_VALUE"""),"A.A. DA ESC. EST. CICERO GOMES")</f>
        <v>A.A. DA ESC. EST. CICERO GOMES</v>
      </c>
      <c r="D31" s="33" t="str">
        <f ca="1">IFERROR(__xludf.DUMMYFUNCTION("""COMPUTED_VALUE"""),"01068377000145")</f>
        <v>01068377000145</v>
      </c>
      <c r="E31" s="34">
        <v>0</v>
      </c>
      <c r="F31" s="34">
        <v>0</v>
      </c>
      <c r="G31" s="34">
        <v>100.8</v>
      </c>
      <c r="H31" s="34">
        <v>722.4</v>
      </c>
      <c r="I31" s="34">
        <v>0</v>
      </c>
      <c r="J31" s="34">
        <v>1458</v>
      </c>
      <c r="K31" s="34">
        <v>1268.4000000000001</v>
      </c>
      <c r="L31" s="34">
        <v>0</v>
      </c>
      <c r="M31" s="34">
        <v>0</v>
      </c>
      <c r="N31" s="34">
        <v>352.8</v>
      </c>
      <c r="O31" s="35" t="s">
        <v>24</v>
      </c>
      <c r="P31" s="35" t="s">
        <v>36</v>
      </c>
      <c r="Q31" s="35" t="s">
        <v>49</v>
      </c>
      <c r="R31" s="34">
        <v>3902.4</v>
      </c>
    </row>
    <row r="32" spans="1:18" ht="12.75">
      <c r="A32" s="36" t="str">
        <f ca="1">IFERROR(__xludf.DUMMYFUNCTION("""COMPUTED_VALUE"""),"Araguatins")</f>
        <v>Araguatins</v>
      </c>
      <c r="B32" s="36" t="str">
        <f ca="1">IFERROR(__xludf.DUMMYFUNCTION("""COMPUTED_VALUE"""),"Carrasco Bonito")</f>
        <v>Carrasco Bonito</v>
      </c>
      <c r="C32" s="36" t="str">
        <f ca="1">IFERROR(__xludf.DUMMYFUNCTION("""COMPUTED_VALUE"""),"A.A.  DA ESCOLA ESTADUAL INES VIANA")</f>
        <v>A.A.  DA ESCOLA ESTADUAL INES VIANA</v>
      </c>
      <c r="D32" s="37" t="str">
        <f ca="1">IFERROR(__xludf.DUMMYFUNCTION("""COMPUTED_VALUE"""),"02508340000153")</f>
        <v>02508340000153</v>
      </c>
      <c r="E32" s="23">
        <v>0</v>
      </c>
      <c r="F32" s="23">
        <v>0</v>
      </c>
      <c r="G32" s="23">
        <v>0</v>
      </c>
      <c r="H32" s="23">
        <v>848.4</v>
      </c>
      <c r="I32" s="23">
        <v>0</v>
      </c>
      <c r="J32" s="23">
        <v>1620</v>
      </c>
      <c r="K32" s="23">
        <v>294</v>
      </c>
      <c r="L32" s="23">
        <v>0</v>
      </c>
      <c r="M32" s="23">
        <v>0</v>
      </c>
      <c r="N32" s="23">
        <v>235.2</v>
      </c>
      <c r="O32" s="38" t="s">
        <v>24</v>
      </c>
      <c r="P32" s="38" t="s">
        <v>36</v>
      </c>
      <c r="Q32" s="38" t="s">
        <v>50</v>
      </c>
      <c r="R32" s="23">
        <v>2997.6</v>
      </c>
    </row>
    <row r="33" spans="1:18" ht="12.75">
      <c r="A33" s="39" t="str">
        <f ca="1">IFERROR(__xludf.DUMMYFUNCTION("""COMPUTED_VALUE"""),"Araguatins")</f>
        <v>Araguatins</v>
      </c>
      <c r="B33" s="39" t="str">
        <f ca="1">IFERROR(__xludf.DUMMYFUNCTION("""COMPUTED_VALUE"""),"Esperantina")</f>
        <v>Esperantina</v>
      </c>
      <c r="C33" s="32" t="str">
        <f ca="1">IFERROR(__xludf.DUMMYFUNCTION("""COMPUTED_VALUE"""),"A.A. ESC. EST. JOAQUINA MARIA DA SILVA")</f>
        <v>A.A. ESC. EST. JOAQUINA MARIA DA SILVA</v>
      </c>
      <c r="D33" s="33" t="str">
        <f ca="1">IFERROR(__xludf.DUMMYFUNCTION("""COMPUTED_VALUE"""),"01113183000114")</f>
        <v>01113183000114</v>
      </c>
      <c r="E33" s="34">
        <v>0</v>
      </c>
      <c r="F33" s="34">
        <v>0</v>
      </c>
      <c r="G33" s="34">
        <v>0</v>
      </c>
      <c r="H33" s="34">
        <v>1310.4000000000001</v>
      </c>
      <c r="I33" s="34">
        <v>0</v>
      </c>
      <c r="J33" s="34">
        <v>0</v>
      </c>
      <c r="K33" s="34">
        <v>1990.8</v>
      </c>
      <c r="L33" s="34">
        <v>0</v>
      </c>
      <c r="M33" s="34">
        <v>327.60000000000002</v>
      </c>
      <c r="N33" s="34">
        <v>0</v>
      </c>
      <c r="O33" s="35" t="s">
        <v>24</v>
      </c>
      <c r="P33" s="35" t="s">
        <v>25</v>
      </c>
      <c r="Q33" s="35" t="s">
        <v>51</v>
      </c>
      <c r="R33" s="34">
        <v>3628.7999999999997</v>
      </c>
    </row>
    <row r="34" spans="1:18" ht="12.75">
      <c r="A34" s="36" t="str">
        <f ca="1">IFERROR(__xludf.DUMMYFUNCTION("""COMPUTED_VALUE"""),"Araguatins")</f>
        <v>Araguatins</v>
      </c>
      <c r="B34" s="36" t="str">
        <f ca="1">IFERROR(__xludf.DUMMYFUNCTION("""COMPUTED_VALUE"""),"Esperantina")</f>
        <v>Esperantina</v>
      </c>
      <c r="C34" s="36" t="str">
        <f ca="1">IFERROR(__xludf.DUMMYFUNCTION("""COMPUTED_VALUE"""),"A.A. ESC. ESTADUAL ULISSES GUIMARAES")</f>
        <v>A.A. ESC. ESTADUAL ULISSES GUIMARAES</v>
      </c>
      <c r="D34" s="37" t="str">
        <f ca="1">IFERROR(__xludf.DUMMYFUNCTION("""COMPUTED_VALUE"""),"01190183000118")</f>
        <v>01190183000118</v>
      </c>
      <c r="E34" s="23">
        <v>0</v>
      </c>
      <c r="F34" s="23">
        <v>0</v>
      </c>
      <c r="G34" s="23">
        <v>42</v>
      </c>
      <c r="H34" s="23">
        <v>1713.6</v>
      </c>
      <c r="I34" s="23">
        <v>0</v>
      </c>
      <c r="J34" s="23">
        <v>2214</v>
      </c>
      <c r="K34" s="23">
        <v>1621.2</v>
      </c>
      <c r="L34" s="23">
        <v>0</v>
      </c>
      <c r="M34" s="23">
        <v>151.19999999999999</v>
      </c>
      <c r="N34" s="23">
        <v>0</v>
      </c>
      <c r="O34" s="38" t="s">
        <v>24</v>
      </c>
      <c r="P34" s="38" t="s">
        <v>25</v>
      </c>
      <c r="Q34" s="38" t="s">
        <v>52</v>
      </c>
      <c r="R34" s="23">
        <v>5742</v>
      </c>
    </row>
    <row r="35" spans="1:18" ht="12.75">
      <c r="A35" s="39" t="str">
        <f ca="1">IFERROR(__xludf.DUMMYFUNCTION("""COMPUTED_VALUE"""),"Araguatins")</f>
        <v>Araguatins</v>
      </c>
      <c r="B35" s="39" t="str">
        <f ca="1">IFERROR(__xludf.DUMMYFUNCTION("""COMPUTED_VALUE"""),"Praia Norte")</f>
        <v>Praia Norte</v>
      </c>
      <c r="C35" s="32" t="str">
        <f ca="1">IFERROR(__xludf.DUMMYFUNCTION("""COMPUTED_VALUE"""),"ASS. DE AP.ESCOLA EST. Iº DE JUNHO")</f>
        <v>ASS. DE AP.ESCOLA EST. Iº DE JUNHO</v>
      </c>
      <c r="D35" s="33" t="str">
        <f ca="1">IFERROR(__xludf.DUMMYFUNCTION("""COMPUTED_VALUE"""),"01392734000126")</f>
        <v>01392734000126</v>
      </c>
      <c r="E35" s="34">
        <v>0</v>
      </c>
      <c r="F35" s="34">
        <v>0</v>
      </c>
      <c r="G35" s="34">
        <v>126</v>
      </c>
      <c r="H35" s="34">
        <v>1764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5" t="s">
        <v>24</v>
      </c>
      <c r="P35" s="35" t="s">
        <v>36</v>
      </c>
      <c r="Q35" s="35" t="s">
        <v>53</v>
      </c>
      <c r="R35" s="34">
        <v>1890</v>
      </c>
    </row>
    <row r="36" spans="1:18" ht="12.75">
      <c r="A36" s="36" t="str">
        <f ca="1">IFERROR(__xludf.DUMMYFUNCTION("""COMPUTED_VALUE"""),"Araguatins")</f>
        <v>Araguatins</v>
      </c>
      <c r="B36" s="36" t="str">
        <f ca="1">IFERROR(__xludf.DUMMYFUNCTION("""COMPUTED_VALUE"""),"Praia Norte")</f>
        <v>Praia Norte</v>
      </c>
      <c r="C36" s="36" t="str">
        <f ca="1">IFERROR(__xludf.DUMMYFUNCTION("""COMPUTED_VALUE"""),"ASS. AP.ESC. ESTADUAL GENESIO GOMES")</f>
        <v>ASS. AP.ESC. ESTADUAL GENESIO GOMES</v>
      </c>
      <c r="D36" s="37" t="str">
        <f ca="1">IFERROR(__xludf.DUMMYFUNCTION("""COMPUTED_VALUE"""),"01192607000183")</f>
        <v>01192607000183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3032.4</v>
      </c>
      <c r="L36" s="23">
        <v>0</v>
      </c>
      <c r="M36" s="23">
        <v>0</v>
      </c>
      <c r="N36" s="23">
        <v>554.4</v>
      </c>
      <c r="O36" s="38" t="s">
        <v>24</v>
      </c>
      <c r="P36" s="38" t="s">
        <v>36</v>
      </c>
      <c r="Q36" s="38" t="s">
        <v>54</v>
      </c>
      <c r="R36" s="23">
        <v>3586.8</v>
      </c>
    </row>
    <row r="37" spans="1:18" ht="12.75">
      <c r="A37" s="39" t="str">
        <f ca="1">IFERROR(__xludf.DUMMYFUNCTION("""COMPUTED_VALUE"""),"Araguatins")</f>
        <v>Araguatins</v>
      </c>
      <c r="B37" s="39" t="str">
        <f ca="1">IFERROR(__xludf.DUMMYFUNCTION("""COMPUTED_VALUE"""),"Sampaio")</f>
        <v>Sampaio</v>
      </c>
      <c r="C37" s="32" t="str">
        <f ca="1">IFERROR(__xludf.DUMMYFUNCTION("""COMPUTED_VALUE"""),"A. DE AP. DA ESCOLA ESTADUAL SAMPAIO")</f>
        <v>A. DE AP. DA ESCOLA ESTADUAL SAMPAIO</v>
      </c>
      <c r="D37" s="33" t="str">
        <f ca="1">IFERROR(__xludf.DUMMYFUNCTION("""COMPUTED_VALUE"""),"01190179000150")</f>
        <v>01190179000150</v>
      </c>
      <c r="E37" s="34">
        <v>0</v>
      </c>
      <c r="F37" s="34">
        <v>0</v>
      </c>
      <c r="G37" s="34">
        <v>100.8</v>
      </c>
      <c r="H37" s="34">
        <v>3292.8</v>
      </c>
      <c r="I37" s="34">
        <v>0</v>
      </c>
      <c r="J37" s="34">
        <v>0</v>
      </c>
      <c r="K37" s="34">
        <v>1940.4</v>
      </c>
      <c r="L37" s="34">
        <v>0</v>
      </c>
      <c r="M37" s="34">
        <v>0</v>
      </c>
      <c r="N37" s="34">
        <v>0</v>
      </c>
      <c r="O37" s="35" t="s">
        <v>24</v>
      </c>
      <c r="P37" s="35" t="s">
        <v>25</v>
      </c>
      <c r="Q37" s="35" t="s">
        <v>55</v>
      </c>
      <c r="R37" s="34">
        <v>5334</v>
      </c>
    </row>
    <row r="38" spans="1:18" ht="12.75">
      <c r="A38" s="36" t="str">
        <f ca="1">IFERROR(__xludf.DUMMYFUNCTION("""COMPUTED_VALUE"""),"Araguatins")</f>
        <v>Araguatins</v>
      </c>
      <c r="B38" s="36" t="str">
        <f ca="1">IFERROR(__xludf.DUMMYFUNCTION("""COMPUTED_VALUE"""),"Sao Bento do Tocantins")</f>
        <v>Sao Bento do Tocantins</v>
      </c>
      <c r="C38" s="36" t="str">
        <f ca="1">IFERROR(__xludf.DUMMYFUNCTION("""COMPUTED_VALUE"""),"A.A. COLEGIO EST. IRMAOS FILGUEIRAS")</f>
        <v>A.A. COLEGIO EST. IRMAOS FILGUEIRAS</v>
      </c>
      <c r="D38" s="37" t="str">
        <f ca="1">IFERROR(__xludf.DUMMYFUNCTION("""COMPUTED_VALUE"""),"01068348000183")</f>
        <v>01068348000183</v>
      </c>
      <c r="E38" s="23">
        <v>0</v>
      </c>
      <c r="F38" s="23">
        <v>0</v>
      </c>
      <c r="G38" s="23">
        <v>243.6</v>
      </c>
      <c r="H38" s="23">
        <v>3410.4</v>
      </c>
      <c r="I38" s="23">
        <v>0</v>
      </c>
      <c r="J38" s="23">
        <v>6084</v>
      </c>
      <c r="K38" s="23">
        <v>991.2</v>
      </c>
      <c r="L38" s="23">
        <v>0</v>
      </c>
      <c r="M38" s="23">
        <v>0</v>
      </c>
      <c r="N38" s="23">
        <v>630</v>
      </c>
      <c r="O38" s="38" t="s">
        <v>24</v>
      </c>
      <c r="P38" s="38" t="s">
        <v>25</v>
      </c>
      <c r="Q38" s="38" t="s">
        <v>56</v>
      </c>
      <c r="R38" s="23">
        <v>11359.2</v>
      </c>
    </row>
    <row r="39" spans="1:18" ht="12.75">
      <c r="A39" s="39" t="str">
        <f ca="1">IFERROR(__xludf.DUMMYFUNCTION("""COMPUTED_VALUE"""),"Araguatins")</f>
        <v>Araguatins</v>
      </c>
      <c r="B39" s="39" t="str">
        <f ca="1">IFERROR(__xludf.DUMMYFUNCTION("""COMPUTED_VALUE"""),"Sao Bento do Tocantins")</f>
        <v>Sao Bento do Tocantins</v>
      </c>
      <c r="C39" s="32" t="str">
        <f ca="1">IFERROR(__xludf.DUMMYFUNCTION("""COMPUTED_VALUE"""),"A.A. ESC. EST. ANAIDES BRITO MIRANDA")</f>
        <v>A.A. ESC. EST. ANAIDES BRITO MIRANDA</v>
      </c>
      <c r="D39" s="33" t="str">
        <f ca="1">IFERROR(__xludf.DUMMYFUNCTION("""COMPUTED_VALUE"""),"01181993000108")</f>
        <v>01181993000108</v>
      </c>
      <c r="E39" s="34">
        <v>0</v>
      </c>
      <c r="F39" s="34">
        <v>0</v>
      </c>
      <c r="G39" s="34">
        <v>126</v>
      </c>
      <c r="H39" s="34">
        <v>873.6</v>
      </c>
      <c r="I39" s="34">
        <v>0</v>
      </c>
      <c r="J39" s="34">
        <v>1710</v>
      </c>
      <c r="K39" s="34">
        <v>327.60000000000002</v>
      </c>
      <c r="L39" s="34">
        <v>0</v>
      </c>
      <c r="M39" s="34">
        <v>0</v>
      </c>
      <c r="N39" s="34">
        <v>0</v>
      </c>
      <c r="O39" s="35" t="s">
        <v>24</v>
      </c>
      <c r="P39" s="35" t="s">
        <v>25</v>
      </c>
      <c r="Q39" s="35" t="s">
        <v>57</v>
      </c>
      <c r="R39" s="34">
        <v>3037.2</v>
      </c>
    </row>
    <row r="40" spans="1:18" ht="12.75">
      <c r="A40" s="36" t="str">
        <f ca="1">IFERROR(__xludf.DUMMYFUNCTION("""COMPUTED_VALUE"""),"Araguatins")</f>
        <v>Araguatins</v>
      </c>
      <c r="B40" s="36" t="str">
        <f ca="1">IFERROR(__xludf.DUMMYFUNCTION("""COMPUTED_VALUE"""),"Sao Miguel do Tocantins")</f>
        <v>Sao Miguel do Tocantins</v>
      </c>
      <c r="C40" s="36" t="str">
        <f ca="1">IFERROR(__xludf.DUMMYFUNCTION("""COMPUTED_VALUE"""),"A.A.  DA ESCOLA ESTADUAL BELA VISTA")</f>
        <v>A.A.  DA ESCOLA ESTADUAL BELA VISTA</v>
      </c>
      <c r="D40" s="37" t="str">
        <f ca="1">IFERROR(__xludf.DUMMYFUNCTION("""COMPUTED_VALUE"""),"01230238000176")</f>
        <v>01230238000176</v>
      </c>
      <c r="E40" s="23">
        <v>0</v>
      </c>
      <c r="F40" s="23">
        <v>0</v>
      </c>
      <c r="G40" s="23">
        <v>0</v>
      </c>
      <c r="H40" s="23">
        <v>2310</v>
      </c>
      <c r="I40" s="23">
        <v>0</v>
      </c>
      <c r="J40" s="23">
        <v>0</v>
      </c>
      <c r="K40" s="23">
        <v>1705.2</v>
      </c>
      <c r="L40" s="23">
        <v>0</v>
      </c>
      <c r="M40" s="23">
        <v>0</v>
      </c>
      <c r="N40" s="23">
        <v>495.6</v>
      </c>
      <c r="O40" s="38" t="s">
        <v>24</v>
      </c>
      <c r="P40" s="38" t="s">
        <v>25</v>
      </c>
      <c r="Q40" s="38" t="s">
        <v>58</v>
      </c>
      <c r="R40" s="23">
        <v>4510.8</v>
      </c>
    </row>
    <row r="41" spans="1:18" ht="12.75">
      <c r="A41" s="39" t="str">
        <f ca="1">IFERROR(__xludf.DUMMYFUNCTION("""COMPUTED_VALUE"""),"Araguatins")</f>
        <v>Araguatins</v>
      </c>
      <c r="B41" s="39" t="str">
        <f ca="1">IFERROR(__xludf.DUMMYFUNCTION("""COMPUTED_VALUE"""),"Sao Miguel do Tocantins")</f>
        <v>Sao Miguel do Tocantins</v>
      </c>
      <c r="C41" s="32" t="str">
        <f ca="1">IFERROR(__xludf.DUMMYFUNCTION("""COMPUTED_VALUE"""),"A.A.  ESCOLA ESTADUAL SAO MIGUEL")</f>
        <v>A.A.  ESCOLA ESTADUAL SAO MIGUEL</v>
      </c>
      <c r="D41" s="33" t="str">
        <f ca="1">IFERROR(__xludf.DUMMYFUNCTION("""COMPUTED_VALUE"""),"01213523000189")</f>
        <v>01213523000189</v>
      </c>
      <c r="E41" s="34">
        <v>0</v>
      </c>
      <c r="F41" s="34">
        <v>0</v>
      </c>
      <c r="G41" s="34">
        <v>142.80000000000001</v>
      </c>
      <c r="H41" s="34">
        <v>2100</v>
      </c>
      <c r="I41" s="34">
        <v>0</v>
      </c>
      <c r="J41" s="34">
        <v>2502</v>
      </c>
      <c r="K41" s="34">
        <v>2133.6</v>
      </c>
      <c r="L41" s="34">
        <v>0</v>
      </c>
      <c r="M41" s="34">
        <v>0</v>
      </c>
      <c r="N41" s="34">
        <v>0</v>
      </c>
      <c r="O41" s="35" t="s">
        <v>24</v>
      </c>
      <c r="P41" s="35" t="s">
        <v>25</v>
      </c>
      <c r="Q41" s="35" t="s">
        <v>59</v>
      </c>
      <c r="R41" s="34">
        <v>6878.4</v>
      </c>
    </row>
    <row r="42" spans="1:18" ht="12.75">
      <c r="A42" s="36" t="str">
        <f ca="1">IFERROR(__xludf.DUMMYFUNCTION("""COMPUTED_VALUE"""),"Araguatins")</f>
        <v>Araguatins</v>
      </c>
      <c r="B42" s="36" t="str">
        <f ca="1">IFERROR(__xludf.DUMMYFUNCTION("""COMPUTED_VALUE"""),"Sao Sebastiao do Tocantins")</f>
        <v>Sao Sebastiao do Tocantins</v>
      </c>
      <c r="C42" s="36" t="str">
        <f ca="1">IFERROR(__xludf.DUMMYFUNCTION("""COMPUTED_VALUE"""),"A.A.  DO COL. EST.IRIO OLIVEIRA SOUZA")</f>
        <v>A.A.  DO COL. EST.IRIO OLIVEIRA SOUZA</v>
      </c>
      <c r="D42" s="37" t="str">
        <f ca="1">IFERROR(__xludf.DUMMYFUNCTION("""COMPUTED_VALUE"""),"01112477000121")</f>
        <v>01112477000121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1696.8</v>
      </c>
      <c r="L42" s="23">
        <v>0</v>
      </c>
      <c r="M42" s="23">
        <v>0</v>
      </c>
      <c r="N42" s="23">
        <v>0</v>
      </c>
      <c r="O42" s="38" t="s">
        <v>24</v>
      </c>
      <c r="P42" s="38" t="s">
        <v>25</v>
      </c>
      <c r="Q42" s="38" t="s">
        <v>60</v>
      </c>
      <c r="R42" s="23">
        <v>1696.8</v>
      </c>
    </row>
    <row r="43" spans="1:18" ht="12.75">
      <c r="A43" s="39" t="str">
        <f ca="1">IFERROR(__xludf.DUMMYFUNCTION("""COMPUTED_VALUE"""),"Araguatins")</f>
        <v>Araguatins</v>
      </c>
      <c r="B43" s="39" t="str">
        <f ca="1">IFERROR(__xludf.DUMMYFUNCTION("""COMPUTED_VALUE"""),"Sao Sebastiao do Tocantins")</f>
        <v>Sao Sebastiao do Tocantins</v>
      </c>
      <c r="C43" s="32" t="str">
        <f ca="1">IFERROR(__xludf.DUMMYFUNCTION("""COMPUTED_VALUE"""),"A.A. E. E. DR.PEDRO LUDOVICO TEIXEIRA")</f>
        <v>A.A. E. E. DR.PEDRO LUDOVICO TEIXEIRA</v>
      </c>
      <c r="D43" s="33" t="str">
        <f ca="1">IFERROR(__xludf.DUMMYFUNCTION("""COMPUTED_VALUE"""),"01186462000108")</f>
        <v>01186462000108</v>
      </c>
      <c r="E43" s="34">
        <v>0</v>
      </c>
      <c r="F43" s="34">
        <v>0</v>
      </c>
      <c r="G43" s="34">
        <v>84</v>
      </c>
      <c r="H43" s="34">
        <v>2898</v>
      </c>
      <c r="I43" s="34">
        <v>0</v>
      </c>
      <c r="J43" s="34">
        <v>2160</v>
      </c>
      <c r="K43" s="34">
        <v>0</v>
      </c>
      <c r="L43" s="34">
        <v>0</v>
      </c>
      <c r="M43" s="34">
        <v>0</v>
      </c>
      <c r="N43" s="34">
        <v>0</v>
      </c>
      <c r="O43" s="35" t="s">
        <v>24</v>
      </c>
      <c r="P43" s="35" t="s">
        <v>25</v>
      </c>
      <c r="Q43" s="35" t="s">
        <v>61</v>
      </c>
      <c r="R43" s="34">
        <v>5142</v>
      </c>
    </row>
    <row r="44" spans="1:18" ht="12.75">
      <c r="A44" s="36" t="str">
        <f ca="1">IFERROR(__xludf.DUMMYFUNCTION("""COMPUTED_VALUE"""),"Araguatins")</f>
        <v>Araguatins</v>
      </c>
      <c r="B44" s="36" t="str">
        <f ca="1">IFERROR(__xludf.DUMMYFUNCTION("""COMPUTED_VALUE"""),"Sitio Novo do Tocantins")</f>
        <v>Sitio Novo do Tocantins</v>
      </c>
      <c r="C44" s="36" t="str">
        <f ca="1">IFERROR(__xludf.DUMMYFUNCTION("""COMPUTED_VALUE"""),"A.A. COL. EST. MARECHAEL RIBAS JUNIOR")</f>
        <v>A.A. COL. EST. MARECHAEL RIBAS JUNIOR</v>
      </c>
      <c r="D44" s="37" t="str">
        <f ca="1">IFERROR(__xludf.DUMMYFUNCTION("""COMPUTED_VALUE"""),"01230241000190")</f>
        <v>01230241000190</v>
      </c>
      <c r="E44" s="23">
        <v>0</v>
      </c>
      <c r="F44" s="23">
        <v>0</v>
      </c>
      <c r="G44" s="23">
        <v>0</v>
      </c>
      <c r="H44" s="23">
        <v>940.8</v>
      </c>
      <c r="I44" s="23">
        <v>0</v>
      </c>
      <c r="J44" s="23">
        <v>0</v>
      </c>
      <c r="K44" s="23">
        <v>2410.8000000000002</v>
      </c>
      <c r="L44" s="23">
        <v>0</v>
      </c>
      <c r="M44" s="23">
        <v>0</v>
      </c>
      <c r="N44" s="23">
        <v>588</v>
      </c>
      <c r="O44" s="38" t="s">
        <v>24</v>
      </c>
      <c r="P44" s="38" t="s">
        <v>25</v>
      </c>
      <c r="Q44" s="38" t="s">
        <v>62</v>
      </c>
      <c r="R44" s="23">
        <v>3939.6000000000004</v>
      </c>
    </row>
    <row r="45" spans="1:18" ht="12.75">
      <c r="A45" s="39" t="str">
        <f ca="1">IFERROR(__xludf.DUMMYFUNCTION("""COMPUTED_VALUE"""),"Araguatins")</f>
        <v>Araguatins</v>
      </c>
      <c r="B45" s="39" t="str">
        <f ca="1">IFERROR(__xludf.DUMMYFUNCTION("""COMPUTED_VALUE"""),"Sitio Novo do Tocantins")</f>
        <v>Sitio Novo do Tocantins</v>
      </c>
      <c r="C45" s="32" t="str">
        <f ca="1">IFERROR(__xludf.DUMMYFUNCTION("""COMPUTED_VALUE"""),"A.A. E. EST. JOAQUIM TEOTONIO SEGURADO")</f>
        <v>A.A. E. EST. JOAQUIM TEOTONIO SEGURADO</v>
      </c>
      <c r="D45" s="33" t="str">
        <f ca="1">IFERROR(__xludf.DUMMYFUNCTION("""COMPUTED_VALUE"""),"01230240000145")</f>
        <v>01230240000145</v>
      </c>
      <c r="E45" s="34">
        <v>0</v>
      </c>
      <c r="F45" s="34">
        <v>0</v>
      </c>
      <c r="G45" s="34">
        <v>0</v>
      </c>
      <c r="H45" s="34">
        <v>344.4</v>
      </c>
      <c r="I45" s="34">
        <v>0</v>
      </c>
      <c r="J45" s="34">
        <v>1062</v>
      </c>
      <c r="K45" s="34">
        <v>621.6</v>
      </c>
      <c r="L45" s="34">
        <v>0</v>
      </c>
      <c r="M45" s="34">
        <v>0</v>
      </c>
      <c r="N45" s="34">
        <v>0</v>
      </c>
      <c r="O45" s="35" t="s">
        <v>24</v>
      </c>
      <c r="P45" s="35" t="s">
        <v>25</v>
      </c>
      <c r="Q45" s="35" t="s">
        <v>63</v>
      </c>
      <c r="R45" s="34">
        <v>2028</v>
      </c>
    </row>
    <row r="46" spans="1:18" ht="12.75">
      <c r="A46" s="36" t="str">
        <f ca="1">IFERROR(__xludf.DUMMYFUNCTION("""COMPUTED_VALUE"""),"Araguatins")</f>
        <v>Araguatins</v>
      </c>
      <c r="B46" s="36" t="str">
        <f ca="1">IFERROR(__xludf.DUMMYFUNCTION("""COMPUTED_VALUE"""),"Sitio Novo do Tocantins")</f>
        <v>Sitio Novo do Tocantins</v>
      </c>
      <c r="C46" s="36" t="str">
        <f ca="1">IFERROR(__xludf.DUMMYFUNCTION("""COMPUTED_VALUE"""),"A.A. ESC. EST. MANOEL ESTEVAO DE SOUZA")</f>
        <v>A.A. ESC. EST. MANOEL ESTEVAO DE SOUZA</v>
      </c>
      <c r="D46" s="37" t="str">
        <f ca="1">IFERROR(__xludf.DUMMYFUNCTION("""COMPUTED_VALUE"""),"01213534000169")</f>
        <v>01213534000169</v>
      </c>
      <c r="E46" s="23">
        <v>0</v>
      </c>
      <c r="F46" s="23">
        <v>0</v>
      </c>
      <c r="G46" s="23">
        <v>0</v>
      </c>
      <c r="H46" s="23">
        <v>1638</v>
      </c>
      <c r="I46" s="23">
        <v>0</v>
      </c>
      <c r="J46" s="23">
        <v>3006</v>
      </c>
      <c r="K46" s="23">
        <v>0</v>
      </c>
      <c r="L46" s="23">
        <v>0</v>
      </c>
      <c r="M46" s="23">
        <v>0</v>
      </c>
      <c r="N46" s="23">
        <v>0</v>
      </c>
      <c r="O46" s="38" t="s">
        <v>24</v>
      </c>
      <c r="P46" s="38" t="s">
        <v>25</v>
      </c>
      <c r="Q46" s="38" t="s">
        <v>64</v>
      </c>
      <c r="R46" s="23">
        <v>4644</v>
      </c>
    </row>
    <row r="47" spans="1:18" ht="12.75">
      <c r="A47" s="39" t="str">
        <f ca="1">IFERROR(__xludf.DUMMYFUNCTION("""COMPUTED_VALUE"""),"Araguatins")</f>
        <v>Araguatins</v>
      </c>
      <c r="B47" s="39" t="str">
        <f ca="1">IFERROR(__xludf.DUMMYFUNCTION("""COMPUTED_VALUE"""),"Sitio Novo do Tocantins")</f>
        <v>Sitio Novo do Tocantins</v>
      </c>
      <c r="C47" s="32" t="str">
        <f ca="1">IFERROR(__xludf.DUMMYFUNCTION("""COMPUTED_VALUE"""),"A.A. ESC. EST. RAIMUNDO NONATO LEITE")</f>
        <v>A.A. ESC. EST. RAIMUNDO NONATO LEITE</v>
      </c>
      <c r="D47" s="33" t="str">
        <f ca="1">IFERROR(__xludf.DUMMYFUNCTION("""COMPUTED_VALUE"""),"01230237000121")</f>
        <v>01230237000121</v>
      </c>
      <c r="E47" s="34">
        <v>0</v>
      </c>
      <c r="F47" s="34">
        <v>0</v>
      </c>
      <c r="G47" s="34">
        <v>0</v>
      </c>
      <c r="H47" s="34">
        <v>655.20000000000005</v>
      </c>
      <c r="I47" s="34">
        <v>0</v>
      </c>
      <c r="J47" s="34">
        <v>0</v>
      </c>
      <c r="K47" s="34">
        <v>310.8</v>
      </c>
      <c r="L47" s="34">
        <v>0</v>
      </c>
      <c r="M47" s="34">
        <v>0</v>
      </c>
      <c r="N47" s="34">
        <v>0</v>
      </c>
      <c r="O47" s="35" t="s">
        <v>24</v>
      </c>
      <c r="P47" s="35" t="s">
        <v>25</v>
      </c>
      <c r="Q47" s="35" t="s">
        <v>65</v>
      </c>
      <c r="R47" s="34">
        <v>966</v>
      </c>
    </row>
  </sheetData>
  <autoFilter ref="A8:R47"/>
  <customSheetViews>
    <customSheetView guid="{7BF180E0-B6E4-4359-B66E-3BDB4DE294CE}" filter="1" showAutoFilter="1">
      <pageMargins left="0.511811024" right="0.511811024" top="0.78740157499999996" bottom="0.78740157499999996" header="0.31496062000000002" footer="0.31496062000000002"/>
      <autoFilter ref="C7:R372">
        <filterColumn colId="7">
          <filters>
            <filter val="0.00"/>
            <filter val="1,062.00"/>
            <filter val="1,170.00"/>
            <filter val="1,296.00"/>
            <filter val="1,404.00"/>
            <filter val="1,440.00"/>
            <filter val="1,458.00"/>
            <filter val="1,620.00"/>
            <filter val="1,638.00"/>
            <filter val="1,710.00"/>
            <filter val="1,782.00"/>
            <filter val="1,800.00"/>
            <filter val="1,818.00"/>
            <filter val="1,944.00"/>
            <filter val="19,602.00"/>
            <filter val="2,034.00"/>
            <filter val="2,160.00"/>
            <filter val="2,214.00"/>
            <filter val="2,286.00"/>
            <filter val="2,502.00"/>
            <filter val="2,628.00"/>
            <filter val="2,646.00"/>
            <filter val="2,934.00"/>
            <filter val="3,006.00"/>
            <filter val="3,240.00"/>
            <filter val="3,420.00"/>
            <filter val="3,600.00"/>
            <filter val="4,230.00"/>
            <filter val="4,338.00"/>
            <filter val="4,356.00"/>
            <filter val="5,022.00"/>
            <filter val="5,562.00"/>
            <filter val="5,940.00"/>
            <filter val="6,084.00"/>
            <filter val="6,282.00"/>
          </filters>
        </filterColumn>
      </autoFilter>
    </customSheetView>
  </customSheetViews>
  <mergeCells count="2">
    <mergeCell ref="P6:Q6"/>
    <mergeCell ref="A5:R5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REP_EST_ARAGUATINS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2019-05-06T12:35:59Z</dcterms:modified>
</cp:coreProperties>
</file>